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lcul retraite" sheetId="1" r:id="rId1"/>
  </sheets>
  <definedNames/>
  <calcPr fullCalcOnLoad="1"/>
</workbook>
</file>

<file path=xl/sharedStrings.xml><?xml version="1.0" encoding="utf-8"?>
<sst xmlns="http://schemas.openxmlformats.org/spreadsheetml/2006/main" count="157" uniqueCount="75">
  <si>
    <r>
      <t>RETRAITES</t>
    </r>
    <r>
      <rPr>
        <b/>
        <sz val="20"/>
        <color indexed="8"/>
        <rFont val="Calibri"/>
        <family val="2"/>
      </rPr>
      <t xml:space="preserve"> : COMPARAISON REGIMES ACTUELS CARSAT + AGIRC/ARRCO ET RETRAITE PAR POINTS</t>
    </r>
  </si>
  <si>
    <t>Cellules en bleu = cellule de saisie</t>
  </si>
  <si>
    <t>Cellules en jaune pour repérer les 25 meilleures années</t>
  </si>
  <si>
    <t>Année</t>
  </si>
  <si>
    <t>Age</t>
  </si>
  <si>
    <t>Nb années de cotisations</t>
  </si>
  <si>
    <t>Salaires annuels bruts</t>
  </si>
  <si>
    <t>Salaire mensuel brut moyen (€)</t>
  </si>
  <si>
    <t>Plafond de la Sécurité Sociale</t>
  </si>
  <si>
    <t>Retraite Complémentaire ARRCO (Non Cadres)</t>
  </si>
  <si>
    <t>Retraite Complémentaire AGIRC (Cadres et Assimilés)</t>
  </si>
  <si>
    <t>En Francs</t>
  </si>
  <si>
    <t>En Euros</t>
  </si>
  <si>
    <t>Coefficient revalorisation CARSAT</t>
  </si>
  <si>
    <t>En Euros avec revalorisation CARSAT</t>
  </si>
  <si>
    <t>Mensuel en Francs</t>
  </si>
  <si>
    <t>Mensuels en Euros</t>
  </si>
  <si>
    <t>Annuel en Francs</t>
  </si>
  <si>
    <t>Annuel en Euros</t>
  </si>
  <si>
    <t>Taux contractuel sur T1</t>
  </si>
  <si>
    <t>Taux contractuel sur T2</t>
  </si>
  <si>
    <t>Salaire de référence en Francs</t>
  </si>
  <si>
    <t>Salaire de référence en Euros</t>
  </si>
  <si>
    <t>Nombre de points ARRCO</t>
  </si>
  <si>
    <t>Taux contractuel T2</t>
  </si>
  <si>
    <t>Nombre de points AGIRC</t>
  </si>
  <si>
    <t>Pas calculé</t>
  </si>
  <si>
    <r>
      <t xml:space="preserve">Total des salaires (départ à la </t>
    </r>
    <r>
      <rPr>
        <b/>
        <sz val="11"/>
        <color indexed="10"/>
        <rFont val="Calibri"/>
        <family val="2"/>
      </rPr>
      <t>retraite à 62 ans</t>
    </r>
    <r>
      <rPr>
        <b/>
        <sz val="11"/>
        <color indexed="8"/>
        <rFont val="Calibri"/>
        <family val="2"/>
      </rPr>
      <t>)</t>
    </r>
  </si>
  <si>
    <t>Total points</t>
  </si>
  <si>
    <t>Salaire mensuel moyen sur l'ensemble de la carrière</t>
  </si>
  <si>
    <t>Salaire mensuel moyen sur les 25 meilleures années</t>
  </si>
  <si>
    <t xml:space="preserve">Modifier les 2 cellules en orange pour faire la somme des salaires des 25 meilleures années </t>
  </si>
  <si>
    <t>Différence 25 meilleures années revalorisées et totalité carrière revalorisée</t>
  </si>
  <si>
    <t>Avant 2019</t>
  </si>
  <si>
    <t>T1 :</t>
  </si>
  <si>
    <t>Salaires jusqu'à 1 fois plafond de la Sécurité Sociale</t>
  </si>
  <si>
    <t>Différence 25 meilleures années revalorisées et totalité carrière non revalorisée</t>
  </si>
  <si>
    <t>T2 (ARRCO) :</t>
  </si>
  <si>
    <t>Salaires entre 1 et 3 fois le plafond de la Sécurité Sociale</t>
  </si>
  <si>
    <t>Total des salaires des 25 meilleures années</t>
  </si>
  <si>
    <r>
      <t xml:space="preserve">Modifier la cellule en orange pour faire la somme des salaires </t>
    </r>
    <r>
      <rPr>
        <b/>
        <u val="single"/>
        <sz val="11"/>
        <color indexed="10"/>
        <rFont val="Calibri"/>
        <family val="2"/>
      </rPr>
      <t>revalorisés</t>
    </r>
    <r>
      <rPr>
        <b/>
        <sz val="11"/>
        <color indexed="10"/>
        <rFont val="Calibri"/>
        <family val="2"/>
      </rPr>
      <t xml:space="preserve"> des 25 meilleures années </t>
    </r>
  </si>
  <si>
    <t>T2 (AGIRC) :</t>
  </si>
  <si>
    <t>Salaires entre 1 et 8 fois le plafond de la Sécurité Sociale</t>
  </si>
  <si>
    <t>Salaire annuel moyen des 25 meilleures années</t>
  </si>
  <si>
    <t>A partir de 2019</t>
  </si>
  <si>
    <t>Pension annuelle brute CNAV (50%)</t>
  </si>
  <si>
    <t>Plafond annuel Sécurité Sociale année du dernier salaire</t>
  </si>
  <si>
    <t>A modifier suivant année dépar en retraite</t>
  </si>
  <si>
    <t>T2 :</t>
  </si>
  <si>
    <t>Pension mensuelle brute CNAV</t>
  </si>
  <si>
    <t>Pension mensuelle brute CNAV + 10% (majo 3 enfants)</t>
  </si>
  <si>
    <t>Nb de points AGIRC/ARRCO acquis</t>
  </si>
  <si>
    <r>
      <t xml:space="preserve">Pension retraite avec régimes actuels (CARSAT + AGIRC/ARRCO), </t>
    </r>
    <r>
      <rPr>
        <b/>
        <sz val="14"/>
        <color indexed="10"/>
        <rFont val="Calibri"/>
        <family val="2"/>
      </rPr>
      <t>Départ à 62 ans</t>
    </r>
  </si>
  <si>
    <t>Annuel brut</t>
  </si>
  <si>
    <t>Mensuel brut</t>
  </si>
  <si>
    <t>Retraite CARSAT (Régime général)</t>
  </si>
  <si>
    <t>Retraite AGIRC-ARRCO (Régime complémentaire)</t>
  </si>
  <si>
    <t>Total Retraite CARSAT + AGIRC-ARRCO</t>
  </si>
  <si>
    <t>Taux de remplacement</t>
  </si>
  <si>
    <t>Calcul avec Retraite par points (tel que présenté dans le rapport Delevoye/Macron)</t>
  </si>
  <si>
    <t>Age de départ en retraite</t>
  </si>
  <si>
    <t>62 ans
(avec décote de 10% !)</t>
  </si>
  <si>
    <t>64 ans
(sans décote)</t>
  </si>
  <si>
    <t>Total des salaires bruts de la carrière (non revalorisés !)</t>
  </si>
  <si>
    <t>Taux de cotisation</t>
  </si>
  <si>
    <t>Total montants cotisés</t>
  </si>
  <si>
    <t>Nombre de points acquis pendant la carrière (10€ cotisés = 1pt)</t>
  </si>
  <si>
    <t>Valeur du point</t>
  </si>
  <si>
    <t>Retraite annuelle brute (Nb de points acquis x valeur du point)</t>
  </si>
  <si>
    <t>Retraite mensuelle brute avant décote</t>
  </si>
  <si>
    <t>Décote 10% si départ à 62 ans</t>
  </si>
  <si>
    <t>Pas de décote</t>
  </si>
  <si>
    <t>Retraite mensuelle brute</t>
  </si>
  <si>
    <t>Différence avec régimes actuels</t>
  </si>
  <si>
    <t>En pourcentage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</si>
</sst>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GENERAL"/>
    <numFmt numFmtId="166" formatCode="0.00"/>
    <numFmt numFmtId="167" formatCode="#,##0.00\ [$FRF]"/>
    <numFmt numFmtId="168" formatCode="_-* #,##0.00&quot; €&quot;_-;\-* #,##0.00&quot; €&quot;_-;_-* \-??&quot; €&quot;_-;_-@_-"/>
    <numFmt numFmtId="169" formatCode="#,##0.00&quot; €&quot;;\-#,##0.00&quot; €&quot;"/>
    <numFmt numFmtId="170" formatCode="#,##0.000_ ;\-#,##0.000\ "/>
    <numFmt numFmtId="171" formatCode="#,##0.00\ [$FRF];\-#,##0.00\ [$FRF]"/>
    <numFmt numFmtId="172" formatCode="0%"/>
    <numFmt numFmtId="173" formatCode="0.00%"/>
    <numFmt numFmtId="174" formatCode="#,##0.0000\ [$FRF]"/>
    <numFmt numFmtId="175" formatCode="#,##0.0000&quot; €&quot;"/>
    <numFmt numFmtId="176" formatCode="#,##0.00_ ;\-#,##0.00\ "/>
    <numFmt numFmtId="177" formatCode="#,##0.0000&quot; €&quot;;\-#,##0.0000&quot; €&quot;"/>
    <numFmt numFmtId="178" formatCode="#,##0.0000\ [$FRF];\-#,##0.0000\ [$FRF]"/>
    <numFmt numFmtId="179" formatCode="#,##0.00&quot; €&quot;"/>
    <numFmt numFmtId="180" formatCode="0.000"/>
    <numFmt numFmtId="181" formatCode="0.0%"/>
  </numFmts>
  <fonts count="19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2"/>
      <name val="Calibri"/>
      <family val="2"/>
    </font>
    <font>
      <b/>
      <sz val="14"/>
      <color indexed="12"/>
      <name val="Calibri"/>
      <family val="2"/>
    </font>
    <font>
      <b/>
      <sz val="12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" fillId="0" borderId="0">
      <alignment/>
      <protection/>
    </xf>
    <xf numFmtId="42" fontId="0" fillId="0" borderId="0" applyFill="0" applyBorder="0" applyAlignment="0" applyProtection="0"/>
    <xf numFmtId="172" fontId="1" fillId="0" borderId="0">
      <alignment/>
      <protection/>
    </xf>
    <xf numFmtId="164" fontId="1" fillId="0" borderId="0">
      <alignment/>
      <protection/>
    </xf>
  </cellStyleXfs>
  <cellXfs count="199">
    <xf numFmtId="164" fontId="0" fillId="0" borderId="0" xfId="0" applyAlignment="1">
      <alignment/>
    </xf>
    <xf numFmtId="164" fontId="1" fillId="0" borderId="0" xfId="20" applyAlignment="1">
      <alignment horizontal="center" vertical="center" wrapText="1"/>
      <protection/>
    </xf>
    <xf numFmtId="164" fontId="2" fillId="2" borderId="1" xfId="20" applyFont="1" applyFill="1" applyBorder="1" applyAlignment="1">
      <alignment horizontal="center" vertical="center" wrapText="1"/>
      <protection/>
    </xf>
    <xf numFmtId="166" fontId="1" fillId="0" borderId="0" xfId="20" applyNumberFormat="1" applyAlignment="1">
      <alignment horizontal="center" vertical="center" wrapText="1"/>
      <protection/>
    </xf>
    <xf numFmtId="164" fontId="1" fillId="3" borderId="0" xfId="20" applyFill="1" applyAlignment="1">
      <alignment horizontal="center" vertical="center" wrapText="1"/>
      <protection/>
    </xf>
    <xf numFmtId="164" fontId="4" fillId="0" borderId="0" xfId="20" applyFont="1" applyAlignment="1">
      <alignment horizontal="left" vertical="center"/>
      <protection/>
    </xf>
    <xf numFmtId="164" fontId="1" fillId="4" borderId="0" xfId="20" applyFill="1" applyAlignment="1">
      <alignment horizontal="center" vertical="center" wrapText="1"/>
      <protection/>
    </xf>
    <xf numFmtId="164" fontId="5" fillId="2" borderId="2" xfId="20" applyFont="1" applyFill="1" applyBorder="1" applyAlignment="1">
      <alignment horizontal="center" vertical="center" wrapText="1"/>
      <protection/>
    </xf>
    <xf numFmtId="164" fontId="5" fillId="2" borderId="3" xfId="20" applyFont="1" applyFill="1" applyBorder="1" applyAlignment="1">
      <alignment horizontal="center" vertical="center" wrapText="1"/>
      <protection/>
    </xf>
    <xf numFmtId="164" fontId="5" fillId="2" borderId="4" xfId="20" applyFont="1" applyFill="1" applyBorder="1" applyAlignment="1">
      <alignment horizontal="center" vertical="center" wrapText="1"/>
      <protection/>
    </xf>
    <xf numFmtId="164" fontId="5" fillId="2" borderId="5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5" fillId="2" borderId="6" xfId="20" applyFont="1" applyFill="1" applyBorder="1" applyAlignment="1">
      <alignment horizontal="center" vertical="center" wrapText="1"/>
      <protection/>
    </xf>
    <xf numFmtId="164" fontId="5" fillId="2" borderId="7" xfId="20" applyFont="1" applyFill="1" applyBorder="1" applyAlignment="1">
      <alignment horizontal="center" vertical="center" wrapText="1"/>
      <protection/>
    </xf>
    <xf numFmtId="164" fontId="5" fillId="2" borderId="8" xfId="20" applyFont="1" applyFill="1" applyBorder="1" applyAlignment="1">
      <alignment horizontal="center" vertical="center" wrapText="1"/>
      <protection/>
    </xf>
    <xf numFmtId="164" fontId="5" fillId="2" borderId="9" xfId="20" applyFont="1" applyFill="1" applyBorder="1" applyAlignment="1">
      <alignment horizontal="center" vertical="center" wrapText="1"/>
      <protection/>
    </xf>
    <xf numFmtId="164" fontId="5" fillId="2" borderId="10" xfId="20" applyFont="1" applyFill="1" applyBorder="1" applyAlignment="1">
      <alignment horizontal="center" vertical="center" wrapText="1"/>
      <protection/>
    </xf>
    <xf numFmtId="164" fontId="5" fillId="2" borderId="11" xfId="20" applyFont="1" applyFill="1" applyBorder="1" applyAlignment="1">
      <alignment horizontal="center" vertical="center" wrapText="1"/>
      <protection/>
    </xf>
    <xf numFmtId="164" fontId="5" fillId="2" borderId="12" xfId="20" applyFont="1" applyFill="1" applyBorder="1" applyAlignment="1">
      <alignment horizontal="center" vertical="center" wrapText="1"/>
      <protection/>
    </xf>
    <xf numFmtId="164" fontId="5" fillId="2" borderId="13" xfId="20" applyFont="1" applyFill="1" applyBorder="1" applyAlignment="1">
      <alignment horizontal="center" vertical="center" wrapText="1"/>
      <protection/>
    </xf>
    <xf numFmtId="164" fontId="1" fillId="0" borderId="14" xfId="20" applyFill="1" applyBorder="1" applyAlignment="1">
      <alignment horizontal="center" vertical="center" wrapText="1"/>
      <protection/>
    </xf>
    <xf numFmtId="164" fontId="1" fillId="3" borderId="15" xfId="20" applyFill="1" applyBorder="1" applyAlignment="1">
      <alignment horizontal="center" vertical="center" wrapText="1"/>
      <protection/>
    </xf>
    <xf numFmtId="164" fontId="1" fillId="3" borderId="16" xfId="20" applyFill="1" applyBorder="1" applyAlignment="1">
      <alignment horizontal="center" vertical="center" wrapText="1"/>
      <protection/>
    </xf>
    <xf numFmtId="167" fontId="1" fillId="3" borderId="17" xfId="20" applyNumberFormat="1" applyFill="1" applyBorder="1" applyAlignment="1">
      <alignment horizontal="center" vertical="center" wrapText="1"/>
      <protection/>
    </xf>
    <xf numFmtId="169" fontId="1" fillId="0" borderId="15" xfId="17" applyNumberFormat="1" applyFont="1" applyFill="1" applyBorder="1" applyAlignment="1" applyProtection="1">
      <alignment horizontal="center" vertical="center" wrapText="1"/>
      <protection/>
    </xf>
    <xf numFmtId="170" fontId="1" fillId="0" borderId="15" xfId="17" applyNumberFormat="1" applyFont="1" applyFill="1" applyBorder="1" applyAlignment="1" applyProtection="1">
      <alignment horizontal="center" vertical="center" wrapText="1"/>
      <protection/>
    </xf>
    <xf numFmtId="169" fontId="1" fillId="0" borderId="18" xfId="17" applyNumberFormat="1" applyFont="1" applyFill="1" applyBorder="1" applyAlignment="1" applyProtection="1">
      <alignment horizontal="center" vertical="center" wrapText="1"/>
      <protection/>
    </xf>
    <xf numFmtId="169" fontId="6" fillId="0" borderId="19" xfId="17" applyNumberFormat="1" applyFont="1" applyFill="1" applyBorder="1" applyAlignment="1" applyProtection="1">
      <alignment horizontal="center" vertical="center" wrapText="1"/>
      <protection/>
    </xf>
    <xf numFmtId="171" fontId="6" fillId="0" borderId="20" xfId="17" applyNumberFormat="1" applyFont="1" applyFill="1" applyBorder="1" applyAlignment="1" applyProtection="1">
      <alignment horizontal="center" vertical="center" wrapText="1"/>
      <protection/>
    </xf>
    <xf numFmtId="169" fontId="6" fillId="0" borderId="21" xfId="17" applyNumberFormat="1" applyFont="1" applyFill="1" applyBorder="1" applyAlignment="1" applyProtection="1">
      <alignment horizontal="center" vertical="center" wrapText="1"/>
      <protection/>
    </xf>
    <xf numFmtId="171" fontId="6" fillId="0" borderId="21" xfId="17" applyNumberFormat="1" applyFont="1" applyFill="1" applyBorder="1" applyAlignment="1" applyProtection="1">
      <alignment horizontal="center" vertical="center" wrapText="1"/>
      <protection/>
    </xf>
    <xf numFmtId="169" fontId="6" fillId="0" borderId="22" xfId="17" applyNumberFormat="1" applyFont="1" applyFill="1" applyBorder="1" applyAlignment="1" applyProtection="1">
      <alignment horizontal="center" vertical="center" wrapText="1"/>
      <protection/>
    </xf>
    <xf numFmtId="173" fontId="6" fillId="0" borderId="20" xfId="19" applyNumberFormat="1" applyFont="1" applyFill="1" applyBorder="1" applyAlignment="1" applyProtection="1">
      <alignment horizontal="center" vertical="center" wrapText="1"/>
      <protection/>
    </xf>
    <xf numFmtId="173" fontId="6" fillId="0" borderId="23" xfId="19" applyNumberFormat="1" applyFont="1" applyFill="1" applyBorder="1" applyAlignment="1" applyProtection="1">
      <alignment horizontal="center" vertical="center" wrapText="1"/>
      <protection/>
    </xf>
    <xf numFmtId="174" fontId="1" fillId="0" borderId="24" xfId="20" applyNumberFormat="1" applyBorder="1" applyAlignment="1">
      <alignment horizontal="center" vertical="center"/>
      <protection/>
    </xf>
    <xf numFmtId="175" fontId="1" fillId="0" borderId="15" xfId="17" applyNumberFormat="1" applyFont="1" applyFill="1" applyBorder="1" applyAlignment="1" applyProtection="1">
      <alignment horizontal="center" vertical="center" wrapText="1"/>
      <protection/>
    </xf>
    <xf numFmtId="176" fontId="6" fillId="0" borderId="25" xfId="17" applyNumberFormat="1" applyFont="1" applyFill="1" applyBorder="1" applyAlignment="1" applyProtection="1">
      <alignment horizontal="center" vertical="center" wrapText="1"/>
      <protection/>
    </xf>
    <xf numFmtId="173" fontId="6" fillId="0" borderId="26" xfId="19" applyNumberFormat="1" applyFont="1" applyFill="1" applyBorder="1" applyAlignment="1" applyProtection="1">
      <alignment horizontal="center" vertical="center" wrapText="1"/>
      <protection/>
    </xf>
    <xf numFmtId="167" fontId="1" fillId="0" borderId="24" xfId="20" applyNumberFormat="1" applyBorder="1" applyAlignment="1">
      <alignment vertical="center"/>
      <protection/>
    </xf>
    <xf numFmtId="177" fontId="1" fillId="0" borderId="15" xfId="17" applyNumberFormat="1" applyFont="1" applyFill="1" applyBorder="1" applyAlignment="1" applyProtection="1">
      <alignment horizontal="center" vertical="center" wrapText="1"/>
      <protection/>
    </xf>
    <xf numFmtId="176" fontId="7" fillId="4" borderId="25" xfId="17" applyNumberFormat="1" applyFont="1" applyFill="1" applyBorder="1" applyAlignment="1" applyProtection="1">
      <alignment horizontal="center" vertical="center" wrapText="1"/>
      <protection/>
    </xf>
    <xf numFmtId="164" fontId="1" fillId="0" borderId="27" xfId="20" applyFill="1" applyBorder="1" applyAlignment="1">
      <alignment horizontal="center" vertical="center" wrapText="1"/>
      <protection/>
    </xf>
    <xf numFmtId="164" fontId="1" fillId="3" borderId="24" xfId="20" applyFill="1" applyBorder="1" applyAlignment="1">
      <alignment horizontal="center" vertical="center" wrapText="1"/>
      <protection/>
    </xf>
    <xf numFmtId="164" fontId="1" fillId="3" borderId="28" xfId="20" applyFill="1" applyBorder="1" applyAlignment="1">
      <alignment horizontal="center" vertical="center" wrapText="1"/>
      <protection/>
    </xf>
    <xf numFmtId="167" fontId="1" fillId="3" borderId="23" xfId="20" applyNumberFormat="1" applyFill="1" applyBorder="1" applyAlignment="1">
      <alignment horizontal="center" vertical="center" wrapText="1"/>
      <protection/>
    </xf>
    <xf numFmtId="169" fontId="1" fillId="0" borderId="24" xfId="17" applyNumberFormat="1" applyFont="1" applyFill="1" applyBorder="1" applyAlignment="1" applyProtection="1">
      <alignment horizontal="center" vertical="center" wrapText="1"/>
      <protection/>
    </xf>
    <xf numFmtId="170" fontId="1" fillId="0" borderId="24" xfId="17" applyNumberFormat="1" applyFont="1" applyFill="1" applyBorder="1" applyAlignment="1" applyProtection="1">
      <alignment horizontal="center" vertical="center" wrapText="1"/>
      <protection/>
    </xf>
    <xf numFmtId="169" fontId="1" fillId="0" borderId="29" xfId="17" applyNumberFormat="1" applyFont="1" applyFill="1" applyBorder="1" applyAlignment="1" applyProtection="1">
      <alignment horizontal="center" vertical="center" wrapText="1"/>
      <protection/>
    </xf>
    <xf numFmtId="175" fontId="1" fillId="0" borderId="24" xfId="17" applyNumberFormat="1" applyFont="1" applyFill="1" applyBorder="1" applyAlignment="1" applyProtection="1">
      <alignment horizontal="center" vertical="center" wrapText="1"/>
      <protection/>
    </xf>
    <xf numFmtId="177" fontId="1" fillId="0" borderId="24" xfId="17" applyNumberFormat="1" applyFont="1" applyFill="1" applyBorder="1" applyAlignment="1" applyProtection="1">
      <alignment horizontal="center" vertical="center" wrapText="1"/>
      <protection/>
    </xf>
    <xf numFmtId="164" fontId="1" fillId="3" borderId="27" xfId="20" applyFill="1" applyBorder="1" applyAlignment="1">
      <alignment horizontal="center" vertical="center" wrapText="1"/>
      <protection/>
    </xf>
    <xf numFmtId="167" fontId="1" fillId="3" borderId="26" xfId="20" applyNumberFormat="1" applyFill="1" applyBorder="1" applyAlignment="1">
      <alignment horizontal="center" vertical="center" wrapText="1"/>
      <protection/>
    </xf>
    <xf numFmtId="169" fontId="1" fillId="0" borderId="21" xfId="17" applyNumberFormat="1" applyFont="1" applyFill="1" applyBorder="1" applyAlignment="1" applyProtection="1">
      <alignment horizontal="center" vertical="center" wrapText="1"/>
      <protection/>
    </xf>
    <xf numFmtId="170" fontId="1" fillId="0" borderId="21" xfId="17" applyNumberFormat="1" applyFont="1" applyFill="1" applyBorder="1" applyAlignment="1" applyProtection="1">
      <alignment horizontal="center" vertical="center" wrapText="1"/>
      <protection/>
    </xf>
    <xf numFmtId="169" fontId="1" fillId="0" borderId="30" xfId="17" applyNumberFormat="1" applyFont="1" applyFill="1" applyBorder="1" applyAlignment="1" applyProtection="1">
      <alignment horizontal="center" vertical="center" wrapText="1"/>
      <protection/>
    </xf>
    <xf numFmtId="174" fontId="1" fillId="0" borderId="21" xfId="20" applyNumberFormat="1" applyBorder="1" applyAlignment="1">
      <alignment horizontal="center" vertical="center"/>
      <protection/>
    </xf>
    <xf numFmtId="175" fontId="1" fillId="0" borderId="21" xfId="17" applyNumberFormat="1" applyFont="1" applyFill="1" applyBorder="1" applyAlignment="1" applyProtection="1">
      <alignment horizontal="center" vertical="center" wrapText="1"/>
      <protection/>
    </xf>
    <xf numFmtId="173" fontId="6" fillId="0" borderId="26" xfId="17" applyNumberFormat="1" applyFont="1" applyFill="1" applyBorder="1" applyAlignment="1" applyProtection="1">
      <alignment horizontal="center" vertical="center" wrapText="1"/>
      <protection/>
    </xf>
    <xf numFmtId="167" fontId="1" fillId="0" borderId="21" xfId="20" applyNumberFormat="1" applyBorder="1" applyAlignment="1">
      <alignment vertical="center"/>
      <protection/>
    </xf>
    <xf numFmtId="177" fontId="1" fillId="0" borderId="21" xfId="17" applyNumberFormat="1" applyFont="1" applyFill="1" applyBorder="1" applyAlignment="1" applyProtection="1">
      <alignment horizontal="center" vertical="center" wrapText="1"/>
      <protection/>
    </xf>
    <xf numFmtId="169" fontId="1" fillId="4" borderId="30" xfId="17" applyNumberFormat="1" applyFont="1" applyFill="1" applyBorder="1" applyAlignment="1" applyProtection="1">
      <alignment horizontal="center" vertical="center" wrapText="1"/>
      <protection/>
    </xf>
    <xf numFmtId="173" fontId="6" fillId="0" borderId="21" xfId="19" applyNumberFormat="1" applyFont="1" applyFill="1" applyBorder="1" applyAlignment="1" applyProtection="1">
      <alignment horizontal="center" vertical="center" wrapText="1"/>
      <protection/>
    </xf>
    <xf numFmtId="174" fontId="1" fillId="0" borderId="0" xfId="20" applyNumberFormat="1" applyBorder="1" applyAlignment="1">
      <alignment horizontal="center"/>
      <protection/>
    </xf>
    <xf numFmtId="167" fontId="1" fillId="0" borderId="0" xfId="20" applyNumberFormat="1">
      <alignment/>
      <protection/>
    </xf>
    <xf numFmtId="178" fontId="1" fillId="0" borderId="21" xfId="20" applyNumberFormat="1" applyBorder="1" applyAlignment="1">
      <alignment horizontal="center" vertical="center"/>
      <protection/>
    </xf>
    <xf numFmtId="164" fontId="1" fillId="5" borderId="26" xfId="20" applyFill="1" applyBorder="1" applyAlignment="1">
      <alignment horizontal="center" vertical="center" wrapText="1"/>
      <protection/>
    </xf>
    <xf numFmtId="169" fontId="1" fillId="3" borderId="21" xfId="17" applyNumberFormat="1" applyFont="1" applyFill="1" applyBorder="1" applyAlignment="1" applyProtection="1">
      <alignment horizontal="center" vertical="center" wrapText="1"/>
      <protection/>
    </xf>
    <xf numFmtId="179" fontId="1" fillId="2" borderId="20" xfId="20" applyNumberFormat="1" applyFont="1" applyFill="1" applyBorder="1" applyAlignment="1">
      <alignment horizontal="center" vertical="center"/>
      <protection/>
    </xf>
    <xf numFmtId="179" fontId="1" fillId="0" borderId="21" xfId="20" applyNumberFormat="1" applyFont="1" applyBorder="1" applyAlignment="1">
      <alignment horizontal="center" vertical="center"/>
      <protection/>
    </xf>
    <xf numFmtId="179" fontId="1" fillId="2" borderId="21" xfId="20" applyNumberFormat="1" applyFont="1" applyFill="1" applyBorder="1" applyAlignment="1">
      <alignment horizontal="center" vertical="center"/>
      <protection/>
    </xf>
    <xf numFmtId="179" fontId="1" fillId="0" borderId="25" xfId="20" applyNumberFormat="1" applyFont="1" applyBorder="1" applyAlignment="1">
      <alignment horizontal="center" vertical="center"/>
      <protection/>
    </xf>
    <xf numFmtId="173" fontId="6" fillId="2" borderId="26" xfId="19" applyNumberFormat="1" applyFont="1" applyFill="1" applyBorder="1" applyAlignment="1" applyProtection="1">
      <alignment horizontal="center" vertical="center" wrapText="1"/>
      <protection/>
    </xf>
    <xf numFmtId="175" fontId="1" fillId="0" borderId="21" xfId="20" applyNumberFormat="1" applyBorder="1" applyAlignment="1">
      <alignment horizontal="center" vertical="center"/>
      <protection/>
    </xf>
    <xf numFmtId="176" fontId="6" fillId="2" borderId="26" xfId="17" applyNumberFormat="1" applyFont="1" applyFill="1" applyBorder="1" applyAlignment="1" applyProtection="1">
      <alignment horizontal="center" vertical="center" wrapText="1"/>
      <protection/>
    </xf>
    <xf numFmtId="164" fontId="1" fillId="5" borderId="21" xfId="20" applyFill="1" applyBorder="1" applyAlignment="1">
      <alignment horizontal="center" vertical="center" wrapText="1"/>
      <protection/>
    </xf>
    <xf numFmtId="180" fontId="1" fillId="0" borderId="21" xfId="20" applyNumberFormat="1" applyFill="1" applyBorder="1" applyAlignment="1">
      <alignment horizontal="center" vertical="center" wrapText="1"/>
      <protection/>
    </xf>
    <xf numFmtId="179" fontId="1" fillId="2" borderId="31" xfId="20" applyNumberFormat="1" applyFont="1" applyFill="1" applyBorder="1" applyAlignment="1">
      <alignment horizontal="center" vertical="center"/>
      <protection/>
    </xf>
    <xf numFmtId="179" fontId="1" fillId="0" borderId="32" xfId="20" applyNumberFormat="1" applyFont="1" applyBorder="1" applyAlignment="1">
      <alignment horizontal="center" vertical="center"/>
      <protection/>
    </xf>
    <xf numFmtId="179" fontId="1" fillId="2" borderId="32" xfId="20" applyNumberFormat="1" applyFont="1" applyFill="1" applyBorder="1" applyAlignment="1">
      <alignment horizontal="center" vertical="center"/>
      <protection/>
    </xf>
    <xf numFmtId="179" fontId="1" fillId="0" borderId="33" xfId="20" applyNumberFormat="1" applyFont="1" applyBorder="1" applyAlignment="1">
      <alignment horizontal="center" vertical="center"/>
      <protection/>
    </xf>
    <xf numFmtId="169" fontId="6" fillId="0" borderId="34" xfId="17" applyNumberFormat="1" applyFont="1" applyFill="1" applyBorder="1" applyAlignment="1" applyProtection="1">
      <alignment horizontal="center" vertical="center" wrapText="1"/>
      <protection/>
    </xf>
    <xf numFmtId="173" fontId="6" fillId="0" borderId="27" xfId="19" applyNumberFormat="1" applyFont="1" applyFill="1" applyBorder="1" applyAlignment="1" applyProtection="1">
      <alignment horizontal="center" vertical="center" wrapText="1"/>
      <protection/>
    </xf>
    <xf numFmtId="173" fontId="6" fillId="2" borderId="23" xfId="19" applyNumberFormat="1" applyFont="1" applyFill="1" applyBorder="1" applyAlignment="1" applyProtection="1">
      <alignment horizontal="center" vertical="center" wrapText="1"/>
      <protection/>
    </xf>
    <xf numFmtId="173" fontId="6" fillId="0" borderId="23" xfId="17" applyNumberFormat="1" applyFont="1" applyFill="1" applyBorder="1" applyAlignment="1" applyProtection="1">
      <alignment horizontal="center" vertical="center" wrapText="1"/>
      <protection/>
    </xf>
    <xf numFmtId="176" fontId="6" fillId="2" borderId="23" xfId="17" applyNumberFormat="1" applyFont="1" applyFill="1" applyBorder="1" applyAlignment="1" applyProtection="1">
      <alignment horizontal="center" vertical="center" wrapText="1"/>
      <protection/>
    </xf>
    <xf numFmtId="179" fontId="6" fillId="2" borderId="27" xfId="17" applyNumberFormat="1" applyFont="1" applyFill="1" applyBorder="1" applyAlignment="1" applyProtection="1">
      <alignment horizontal="center" vertical="center" wrapText="1"/>
      <protection/>
    </xf>
    <xf numFmtId="179" fontId="6" fillId="0" borderId="24" xfId="17" applyNumberFormat="1" applyFont="1" applyFill="1" applyBorder="1" applyAlignment="1" applyProtection="1">
      <alignment horizontal="center" vertical="center" wrapText="1"/>
      <protection/>
    </xf>
    <xf numFmtId="179" fontId="6" fillId="2" borderId="24" xfId="17" applyNumberFormat="1" applyFont="1" applyFill="1" applyBorder="1" applyAlignment="1" applyProtection="1">
      <alignment horizontal="center" vertical="center" wrapText="1"/>
      <protection/>
    </xf>
    <xf numFmtId="179" fontId="6" fillId="0" borderId="35" xfId="17" applyNumberFormat="1" applyFont="1" applyFill="1" applyBorder="1" applyAlignment="1" applyProtection="1">
      <alignment horizontal="center" vertical="center" wrapText="1"/>
      <protection/>
    </xf>
    <xf numFmtId="164" fontId="1" fillId="5" borderId="20" xfId="20" applyFill="1" applyBorder="1" applyAlignment="1">
      <alignment horizontal="center" vertical="center" wrapText="1"/>
      <protection/>
    </xf>
    <xf numFmtId="179" fontId="6" fillId="2" borderId="20" xfId="17" applyNumberFormat="1" applyFont="1" applyFill="1" applyBorder="1" applyAlignment="1" applyProtection="1">
      <alignment horizontal="center" vertical="center" wrapText="1"/>
      <protection/>
    </xf>
    <xf numFmtId="179" fontId="6" fillId="2" borderId="21" xfId="17" applyNumberFormat="1" applyFont="1" applyFill="1" applyBorder="1" applyAlignment="1" applyProtection="1">
      <alignment horizontal="center" vertical="center" wrapText="1"/>
      <protection/>
    </xf>
    <xf numFmtId="164" fontId="1" fillId="5" borderId="36" xfId="20" applyFill="1" applyBorder="1" applyAlignment="1">
      <alignment horizontal="center" vertical="center" wrapText="1"/>
      <protection/>
    </xf>
    <xf numFmtId="169" fontId="1" fillId="3" borderId="24" xfId="17" applyNumberFormat="1" applyFont="1" applyFill="1" applyBorder="1" applyAlignment="1" applyProtection="1">
      <alignment horizontal="center" vertical="center" wrapText="1"/>
      <protection/>
    </xf>
    <xf numFmtId="179" fontId="6" fillId="2" borderId="8" xfId="17" applyNumberFormat="1" applyFont="1" applyFill="1" applyBorder="1" applyAlignment="1" applyProtection="1">
      <alignment horizontal="center" vertical="center" wrapText="1"/>
      <protection/>
    </xf>
    <xf numFmtId="179" fontId="6" fillId="2" borderId="36" xfId="17" applyNumberFormat="1" applyFont="1" applyFill="1" applyBorder="1" applyAlignment="1" applyProtection="1">
      <alignment horizontal="center" vertical="center" wrapText="1"/>
      <protection/>
    </xf>
    <xf numFmtId="173" fontId="6" fillId="0" borderId="11" xfId="19" applyNumberFormat="1" applyFont="1" applyFill="1" applyBorder="1" applyAlignment="1" applyProtection="1">
      <alignment horizontal="center" vertical="center" wrapText="1"/>
      <protection/>
    </xf>
    <xf numFmtId="173" fontId="6" fillId="0" borderId="12" xfId="19" applyNumberFormat="1" applyFont="1" applyFill="1" applyBorder="1" applyAlignment="1" applyProtection="1">
      <alignment horizontal="center" vertical="center" wrapText="1"/>
      <protection/>
    </xf>
    <xf numFmtId="173" fontId="6" fillId="2" borderId="12" xfId="19" applyNumberFormat="1" applyFont="1" applyFill="1" applyBorder="1" applyAlignment="1" applyProtection="1">
      <alignment horizontal="center" vertical="center" wrapText="1"/>
      <protection/>
    </xf>
    <xf numFmtId="175" fontId="1" fillId="0" borderId="9" xfId="20" applyNumberFormat="1" applyBorder="1" applyAlignment="1">
      <alignment horizontal="center" vertical="center"/>
      <protection/>
    </xf>
    <xf numFmtId="176" fontId="6" fillId="0" borderId="13" xfId="17" applyNumberFormat="1" applyFont="1" applyFill="1" applyBorder="1" applyAlignment="1" applyProtection="1">
      <alignment horizontal="center" vertical="center" wrapText="1"/>
      <protection/>
    </xf>
    <xf numFmtId="173" fontId="6" fillId="0" borderId="12" xfId="17" applyNumberFormat="1" applyFont="1" applyFill="1" applyBorder="1" applyAlignment="1" applyProtection="1">
      <alignment horizontal="center" vertical="center" wrapText="1"/>
      <protection/>
    </xf>
    <xf numFmtId="176" fontId="6" fillId="2" borderId="12" xfId="17" applyNumberFormat="1" applyFont="1" applyFill="1" applyBorder="1" applyAlignment="1" applyProtection="1">
      <alignment horizontal="center" vertical="center" wrapText="1"/>
      <protection/>
    </xf>
    <xf numFmtId="176" fontId="7" fillId="4" borderId="13" xfId="17" applyNumberFormat="1" applyFont="1" applyFill="1" applyBorder="1" applyAlignment="1" applyProtection="1">
      <alignment horizontal="center" vertical="center" wrapText="1"/>
      <protection/>
    </xf>
    <xf numFmtId="169" fontId="8" fillId="0" borderId="3" xfId="17" applyNumberFormat="1" applyFont="1" applyFill="1" applyBorder="1" applyAlignment="1" applyProtection="1">
      <alignment horizontal="center" vertical="center" wrapText="1"/>
      <protection/>
    </xf>
    <xf numFmtId="168" fontId="1" fillId="2" borderId="3" xfId="17" applyFont="1" applyFill="1" applyBorder="1" applyAlignment="1" applyProtection="1">
      <alignment horizontal="center" vertical="center" wrapText="1"/>
      <protection/>
    </xf>
    <xf numFmtId="169" fontId="5" fillId="0" borderId="37" xfId="17" applyNumberFormat="1" applyFont="1" applyFill="1" applyBorder="1" applyAlignment="1" applyProtection="1">
      <alignment horizontal="center" vertical="center" wrapText="1"/>
      <protection/>
    </xf>
    <xf numFmtId="176" fontId="9" fillId="2" borderId="8" xfId="17" applyNumberFormat="1" applyFont="1" applyFill="1" applyBorder="1" applyAlignment="1" applyProtection="1">
      <alignment horizontal="center" vertical="center" wrapText="1"/>
      <protection/>
    </xf>
    <xf numFmtId="176" fontId="9" fillId="2" borderId="6" xfId="17" applyNumberFormat="1" applyFont="1" applyFill="1" applyBorder="1" applyAlignment="1" applyProtection="1">
      <alignment horizontal="center" vertical="center" wrapText="1"/>
      <protection/>
    </xf>
    <xf numFmtId="176" fontId="9" fillId="2" borderId="36" xfId="17" applyNumberFormat="1" applyFont="1" applyFill="1" applyBorder="1" applyAlignment="1" applyProtection="1">
      <alignment horizontal="center" vertical="center" wrapText="1"/>
      <protection/>
    </xf>
    <xf numFmtId="176" fontId="9" fillId="0" borderId="7" xfId="17" applyNumberFormat="1" applyFont="1" applyFill="1" applyBorder="1" applyAlignment="1" applyProtection="1">
      <alignment horizontal="center" vertical="center" wrapText="1"/>
      <protection/>
    </xf>
    <xf numFmtId="169" fontId="1" fillId="2" borderId="38" xfId="17" applyNumberFormat="1" applyFont="1" applyFill="1" applyBorder="1" applyAlignment="1" applyProtection="1">
      <alignment horizontal="center" vertical="center" wrapText="1"/>
      <protection/>
    </xf>
    <xf numFmtId="169" fontId="5" fillId="0" borderId="4" xfId="17" applyNumberFormat="1" applyFont="1" applyFill="1" applyBorder="1" applyAlignment="1" applyProtection="1">
      <alignment horizontal="center" vertical="center" wrapText="1"/>
      <protection/>
    </xf>
    <xf numFmtId="166" fontId="5" fillId="0" borderId="1" xfId="20" applyNumberFormat="1" applyFont="1" applyBorder="1" applyAlignment="1">
      <alignment horizontal="center" vertical="center" wrapText="1"/>
      <protection/>
    </xf>
    <xf numFmtId="169" fontId="8" fillId="6" borderId="3" xfId="17" applyNumberFormat="1" applyFont="1" applyFill="1" applyBorder="1" applyAlignment="1" applyProtection="1">
      <alignment horizontal="center" vertical="center" wrapText="1"/>
      <protection/>
    </xf>
    <xf numFmtId="169" fontId="5" fillId="6" borderId="4" xfId="17" applyNumberFormat="1" applyFont="1" applyFill="1" applyBorder="1" applyAlignment="1" applyProtection="1">
      <alignment horizontal="center" vertical="center" wrapText="1"/>
      <protection/>
    </xf>
    <xf numFmtId="164" fontId="8" fillId="6" borderId="39" xfId="20" applyFont="1" applyFill="1" applyBorder="1" applyAlignment="1">
      <alignment vertical="center"/>
      <protection/>
    </xf>
    <xf numFmtId="164" fontId="8" fillId="6" borderId="0" xfId="20" applyFont="1" applyFill="1" applyBorder="1" applyAlignment="1">
      <alignment vertical="center"/>
      <protection/>
    </xf>
    <xf numFmtId="181" fontId="1" fillId="0" borderId="0" xfId="19" applyNumberFormat="1" applyFont="1" applyFill="1" applyBorder="1" applyAlignment="1" applyProtection="1">
      <alignment horizontal="center" vertical="center" wrapText="1"/>
      <protection/>
    </xf>
    <xf numFmtId="181" fontId="5" fillId="0" borderId="4" xfId="19" applyNumberFormat="1" applyFont="1" applyFill="1" applyBorder="1" applyAlignment="1" applyProtection="1">
      <alignment horizontal="center" vertical="center" wrapText="1"/>
      <protection/>
    </xf>
    <xf numFmtId="181" fontId="5" fillId="0" borderId="0" xfId="19" applyNumberFormat="1" applyFont="1" applyFill="1" applyBorder="1" applyAlignment="1" applyProtection="1">
      <alignment horizontal="center" vertical="center" wrapText="1"/>
      <protection/>
    </xf>
    <xf numFmtId="164" fontId="10" fillId="0" borderId="17" xfId="20" applyFont="1" applyBorder="1" applyAlignment="1">
      <alignment horizontal="center" vertical="center" wrapText="1"/>
      <protection/>
    </xf>
    <xf numFmtId="164" fontId="1" fillId="0" borderId="40" xfId="20" applyFont="1" applyBorder="1" applyAlignment="1">
      <alignment horizontal="left" vertical="center"/>
      <protection/>
    </xf>
    <xf numFmtId="164" fontId="1" fillId="0" borderId="41" xfId="20" applyBorder="1" applyAlignment="1">
      <alignment horizontal="left" vertical="center"/>
      <protection/>
    </xf>
    <xf numFmtId="164" fontId="1" fillId="0" borderId="16" xfId="20" applyBorder="1" applyAlignment="1">
      <alignment horizontal="left" vertical="center"/>
      <protection/>
    </xf>
    <xf numFmtId="164" fontId="8" fillId="2" borderId="2" xfId="20" applyFont="1" applyFill="1" applyBorder="1" applyAlignment="1">
      <alignment horizontal="center" vertical="center" wrapText="1"/>
      <protection/>
    </xf>
    <xf numFmtId="181" fontId="8" fillId="0" borderId="4" xfId="19" applyNumberFormat="1" applyFont="1" applyFill="1" applyBorder="1" applyAlignment="1" applyProtection="1">
      <alignment horizontal="center" vertical="center" wrapText="1"/>
      <protection/>
    </xf>
    <xf numFmtId="164" fontId="10" fillId="0" borderId="26" xfId="20" applyFont="1" applyBorder="1" applyAlignment="1">
      <alignment horizontal="center" vertical="center" wrapText="1"/>
      <protection/>
    </xf>
    <xf numFmtId="164" fontId="1" fillId="0" borderId="42" xfId="20" applyFont="1" applyBorder="1" applyAlignment="1">
      <alignment horizontal="left" vertical="center"/>
      <protection/>
    </xf>
    <xf numFmtId="164" fontId="1" fillId="0" borderId="22" xfId="20" applyBorder="1" applyAlignment="1">
      <alignment horizontal="left" vertical="center"/>
      <protection/>
    </xf>
    <xf numFmtId="164" fontId="1" fillId="0" borderId="25" xfId="20" applyBorder="1" applyAlignment="1">
      <alignment horizontal="left" vertical="center"/>
      <protection/>
    </xf>
    <xf numFmtId="169" fontId="5" fillId="6" borderId="4" xfId="20" applyNumberFormat="1" applyFont="1" applyFill="1" applyBorder="1" applyAlignment="1">
      <alignment horizontal="center" vertical="center" wrapText="1"/>
      <protection/>
    </xf>
    <xf numFmtId="164" fontId="10" fillId="0" borderId="12" xfId="20" applyFont="1" applyBorder="1" applyAlignment="1">
      <alignment horizontal="center" vertical="center" wrapText="1"/>
      <protection/>
    </xf>
    <xf numFmtId="164" fontId="1" fillId="0" borderId="43" xfId="20" applyFont="1" applyBorder="1" applyAlignment="1">
      <alignment horizontal="left" vertical="center"/>
      <protection/>
    </xf>
    <xf numFmtId="164" fontId="1" fillId="0" borderId="44" xfId="20" applyBorder="1" applyAlignment="1">
      <alignment horizontal="left" vertical="center"/>
      <protection/>
    </xf>
    <xf numFmtId="164" fontId="1" fillId="0" borderId="13" xfId="20" applyBorder="1" applyAlignment="1">
      <alignment horizontal="left" vertical="center"/>
      <protection/>
    </xf>
    <xf numFmtId="169" fontId="5" fillId="0" borderId="4" xfId="20" applyNumberFormat="1" applyFont="1" applyFill="1" applyBorder="1" applyAlignment="1">
      <alignment horizontal="center" vertical="center" wrapText="1"/>
      <protection/>
    </xf>
    <xf numFmtId="181" fontId="5" fillId="2" borderId="1" xfId="19" applyNumberFormat="1" applyFont="1" applyFill="1" applyBorder="1" applyAlignment="1" applyProtection="1">
      <alignment horizontal="center" vertical="center" wrapText="1"/>
      <protection/>
    </xf>
    <xf numFmtId="169" fontId="5" fillId="0" borderId="45" xfId="20" applyNumberFormat="1" applyFont="1" applyBorder="1" applyAlignment="1">
      <alignment horizontal="center" vertical="center" wrapText="1"/>
      <protection/>
    </xf>
    <xf numFmtId="164" fontId="5" fillId="0" borderId="2" xfId="20" applyFont="1" applyBorder="1" applyAlignment="1">
      <alignment horizontal="left" vertical="center"/>
      <protection/>
    </xf>
    <xf numFmtId="179" fontId="5" fillId="6" borderId="37" xfId="20" applyNumberFormat="1" applyFont="1" applyFill="1" applyBorder="1" applyAlignment="1">
      <alignment horizontal="center" vertical="center" wrapText="1"/>
      <protection/>
    </xf>
    <xf numFmtId="181" fontId="8" fillId="6" borderId="0" xfId="19" applyNumberFormat="1" applyFont="1" applyFill="1" applyBorder="1" applyAlignment="1" applyProtection="1">
      <alignment horizontal="left" vertical="center"/>
      <protection/>
    </xf>
    <xf numFmtId="164" fontId="1" fillId="6" borderId="0" xfId="20" applyFill="1" applyAlignment="1">
      <alignment horizontal="center" vertical="center" wrapText="1"/>
      <protection/>
    </xf>
    <xf numFmtId="169" fontId="5" fillId="0" borderId="4" xfId="20" applyNumberFormat="1" applyFont="1" applyBorder="1" applyAlignment="1">
      <alignment horizontal="center" vertical="center" wrapText="1"/>
      <protection/>
    </xf>
    <xf numFmtId="166" fontId="5" fillId="0" borderId="4" xfId="20" applyNumberFormat="1" applyFont="1" applyBorder="1" applyAlignment="1">
      <alignment horizontal="center" vertical="center" wrapText="1"/>
      <protection/>
    </xf>
    <xf numFmtId="164" fontId="11" fillId="2" borderId="1" xfId="20" applyFont="1" applyFill="1" applyBorder="1" applyAlignment="1">
      <alignment horizontal="center" vertical="center" wrapText="1"/>
      <protection/>
    </xf>
    <xf numFmtId="164" fontId="6" fillId="0" borderId="0" xfId="20" applyFont="1" applyAlignment="1">
      <alignment horizontal="center" vertical="center" wrapText="1"/>
      <protection/>
    </xf>
    <xf numFmtId="164" fontId="1" fillId="2" borderId="38" xfId="20" applyFill="1" applyBorder="1" applyAlignment="1">
      <alignment horizontal="center" vertical="center" wrapText="1"/>
      <protection/>
    </xf>
    <xf numFmtId="164" fontId="5" fillId="2" borderId="38" xfId="20" applyFont="1" applyFill="1" applyBorder="1" applyAlignment="1">
      <alignment horizontal="center" vertical="center" wrapText="1"/>
      <protection/>
    </xf>
    <xf numFmtId="164" fontId="13" fillId="2" borderId="37" xfId="20" applyFont="1" applyFill="1" applyBorder="1" applyAlignment="1">
      <alignment horizontal="center" vertical="center" wrapText="1"/>
      <protection/>
    </xf>
    <xf numFmtId="164" fontId="1" fillId="2" borderId="14" xfId="20" applyFont="1" applyFill="1" applyBorder="1" applyAlignment="1">
      <alignment horizontal="center" vertical="center" wrapText="1"/>
      <protection/>
    </xf>
    <xf numFmtId="169" fontId="1" fillId="0" borderId="26" xfId="17" applyNumberFormat="1" applyFont="1" applyFill="1" applyBorder="1" applyAlignment="1" applyProtection="1">
      <alignment horizontal="center" vertical="center" wrapText="1"/>
      <protection/>
    </xf>
    <xf numFmtId="169" fontId="14" fillId="0" borderId="30" xfId="17" applyNumberFormat="1" applyFont="1" applyFill="1" applyBorder="1" applyAlignment="1" applyProtection="1">
      <alignment horizontal="center" vertical="center" wrapText="1"/>
      <protection/>
    </xf>
    <xf numFmtId="172" fontId="1" fillId="0" borderId="5" xfId="20" applyNumberFormat="1" applyBorder="1" applyAlignment="1">
      <alignment horizontal="center" vertical="center" wrapText="1"/>
      <protection/>
    </xf>
    <xf numFmtId="172" fontId="1" fillId="0" borderId="0" xfId="20" applyNumberFormat="1" applyBorder="1" applyAlignment="1">
      <alignment horizontal="center" vertical="center" wrapText="1"/>
      <protection/>
    </xf>
    <xf numFmtId="164" fontId="1" fillId="2" borderId="11" xfId="20" applyFont="1" applyFill="1" applyBorder="1" applyAlignment="1">
      <alignment horizontal="center" vertical="center" wrapText="1"/>
      <protection/>
    </xf>
    <xf numFmtId="169" fontId="1" fillId="0" borderId="46" xfId="17" applyNumberFormat="1" applyFont="1" applyFill="1" applyBorder="1" applyAlignment="1" applyProtection="1">
      <alignment horizontal="center" vertical="center" wrapText="1"/>
      <protection/>
    </xf>
    <xf numFmtId="169" fontId="14" fillId="0" borderId="47" xfId="17" applyNumberFormat="1" applyFont="1" applyFill="1" applyBorder="1" applyAlignment="1" applyProtection="1">
      <alignment horizontal="center" vertical="center" wrapText="1"/>
      <protection/>
    </xf>
    <xf numFmtId="172" fontId="1" fillId="0" borderId="48" xfId="20" applyNumberFormat="1" applyBorder="1" applyAlignment="1">
      <alignment horizontal="center" vertical="center" wrapText="1"/>
      <protection/>
    </xf>
    <xf numFmtId="164" fontId="15" fillId="2" borderId="2" xfId="20" applyFont="1" applyFill="1" applyBorder="1" applyAlignment="1">
      <alignment horizontal="center" vertical="center" wrapText="1"/>
      <protection/>
    </xf>
    <xf numFmtId="169" fontId="15" fillId="0" borderId="38" xfId="20" applyNumberFormat="1" applyFont="1" applyBorder="1" applyAlignment="1">
      <alignment horizontal="center" vertical="center" wrapText="1"/>
      <protection/>
    </xf>
    <xf numFmtId="169" fontId="16" fillId="4" borderId="37" xfId="20" applyNumberFormat="1" applyFont="1" applyFill="1" applyBorder="1" applyAlignment="1">
      <alignment horizontal="center" vertical="center" wrapText="1"/>
      <protection/>
    </xf>
    <xf numFmtId="164" fontId="5" fillId="0" borderId="0" xfId="20" applyFont="1" applyAlignment="1">
      <alignment horizontal="left" vertical="center"/>
      <protection/>
    </xf>
    <xf numFmtId="164" fontId="13" fillId="2" borderId="2" xfId="20" applyFont="1" applyFill="1" applyBorder="1" applyAlignment="1">
      <alignment horizontal="center" vertical="center" wrapText="1"/>
      <protection/>
    </xf>
    <xf numFmtId="181" fontId="13" fillId="0" borderId="4" xfId="19" applyNumberFormat="1" applyFont="1" applyFill="1" applyBorder="1" applyAlignment="1" applyProtection="1">
      <alignment horizontal="center" vertical="center" wrapText="1"/>
      <protection/>
    </xf>
    <xf numFmtId="172" fontId="17" fillId="0" borderId="0" xfId="19" applyFont="1" applyFill="1" applyBorder="1" applyAlignment="1" applyProtection="1">
      <alignment horizontal="center" vertical="center" wrapText="1"/>
      <protection/>
    </xf>
    <xf numFmtId="164" fontId="15" fillId="2" borderId="49" xfId="20" applyFont="1" applyFill="1" applyBorder="1" applyAlignment="1">
      <alignment horizontal="center" vertical="center" wrapText="1"/>
      <protection/>
    </xf>
    <xf numFmtId="164" fontId="13" fillId="2" borderId="1" xfId="20" applyFont="1" applyFill="1" applyBorder="1" applyAlignment="1">
      <alignment horizontal="center" vertical="center" wrapText="1"/>
      <protection/>
    </xf>
    <xf numFmtId="164" fontId="5" fillId="2" borderId="49" xfId="20" applyFont="1" applyFill="1" applyBorder="1" applyAlignment="1">
      <alignment horizontal="center" vertical="center" wrapText="1"/>
      <protection/>
    </xf>
    <xf numFmtId="179" fontId="5" fillId="0" borderId="1" xfId="20" applyNumberFormat="1" applyFont="1" applyBorder="1" applyAlignment="1">
      <alignment horizontal="center" vertical="center" wrapText="1"/>
      <protection/>
    </xf>
    <xf numFmtId="179" fontId="13" fillId="0" borderId="1" xfId="20" applyNumberFormat="1" applyFont="1" applyBorder="1" applyAlignment="1">
      <alignment horizontal="center" vertical="center" wrapText="1"/>
      <protection/>
    </xf>
    <xf numFmtId="164" fontId="1" fillId="2" borderId="50" xfId="20" applyFont="1" applyFill="1" applyBorder="1" applyAlignment="1">
      <alignment horizontal="center" vertical="center" wrapText="1"/>
      <protection/>
    </xf>
    <xf numFmtId="173" fontId="1" fillId="0" borderId="34" xfId="17" applyNumberFormat="1" applyFont="1" applyFill="1" applyBorder="1" applyAlignment="1" applyProtection="1">
      <alignment horizontal="center" vertical="center" wrapText="1"/>
      <protection/>
    </xf>
    <xf numFmtId="173" fontId="14" fillId="0" borderId="34" xfId="17" applyNumberFormat="1" applyFont="1" applyFill="1" applyBorder="1" applyAlignment="1" applyProtection="1">
      <alignment horizontal="center" vertical="center" wrapText="1"/>
      <protection/>
    </xf>
    <xf numFmtId="164" fontId="1" fillId="2" borderId="51" xfId="20" applyFont="1" applyFill="1" applyBorder="1" applyAlignment="1">
      <alignment horizontal="center" vertical="center" wrapText="1"/>
      <protection/>
    </xf>
    <xf numFmtId="179" fontId="1" fillId="0" borderId="52" xfId="17" applyNumberFormat="1" applyFont="1" applyFill="1" applyBorder="1" applyAlignment="1" applyProtection="1">
      <alignment horizontal="center" vertical="center" wrapText="1"/>
      <protection/>
    </xf>
    <xf numFmtId="179" fontId="14" fillId="0" borderId="52" xfId="17" applyNumberFormat="1" applyFont="1" applyFill="1" applyBorder="1" applyAlignment="1" applyProtection="1">
      <alignment horizontal="center" vertical="center" wrapText="1"/>
      <protection/>
    </xf>
    <xf numFmtId="164" fontId="5" fillId="0" borderId="1" xfId="20" applyFont="1" applyBorder="1" applyAlignment="1">
      <alignment horizontal="center" vertical="center" wrapText="1"/>
      <protection/>
    </xf>
    <xf numFmtId="164" fontId="13" fillId="0" borderId="1" xfId="20" applyFont="1" applyBorder="1" applyAlignment="1">
      <alignment horizontal="center" vertical="center" wrapText="1"/>
      <protection/>
    </xf>
    <xf numFmtId="179" fontId="1" fillId="0" borderId="34" xfId="17" applyNumberFormat="1" applyFont="1" applyFill="1" applyBorder="1" applyAlignment="1" applyProtection="1">
      <alignment horizontal="center" vertical="center" wrapText="1"/>
      <protection/>
    </xf>
    <xf numFmtId="179" fontId="14" fillId="0" borderId="34" xfId="17" applyNumberFormat="1" applyFont="1" applyFill="1" applyBorder="1" applyAlignment="1" applyProtection="1">
      <alignment horizontal="center" vertical="center" wrapText="1"/>
      <protection/>
    </xf>
    <xf numFmtId="164" fontId="5" fillId="2" borderId="51" xfId="20" applyFont="1" applyFill="1" applyBorder="1" applyAlignment="1">
      <alignment horizontal="center" vertical="center" wrapText="1"/>
      <protection/>
    </xf>
    <xf numFmtId="179" fontId="5" fillId="0" borderId="52" xfId="20" applyNumberFormat="1" applyFont="1" applyBorder="1" applyAlignment="1">
      <alignment horizontal="center" vertical="center" wrapText="1"/>
      <protection/>
    </xf>
    <xf numFmtId="179" fontId="13" fillId="0" borderId="52" xfId="20" applyNumberFormat="1" applyFont="1" applyBorder="1" applyAlignment="1">
      <alignment horizontal="center" vertical="center" wrapText="1"/>
      <protection/>
    </xf>
    <xf numFmtId="164" fontId="18" fillId="2" borderId="49" xfId="20" applyFont="1" applyFill="1" applyBorder="1" applyAlignment="1">
      <alignment horizontal="center" vertical="center" wrapText="1"/>
      <protection/>
    </xf>
    <xf numFmtId="179" fontId="18" fillId="4" borderId="1" xfId="20" applyNumberFormat="1" applyFont="1" applyFill="1" applyBorder="1" applyAlignment="1">
      <alignment horizontal="center" vertical="center" wrapText="1"/>
      <protection/>
    </xf>
    <xf numFmtId="179" fontId="16" fillId="4" borderId="1" xfId="20" applyNumberFormat="1" applyFont="1" applyFill="1" applyBorder="1" applyAlignment="1">
      <alignment horizontal="center" vertical="center" wrapText="1"/>
      <protection/>
    </xf>
    <xf numFmtId="179" fontId="18" fillId="0" borderId="1" xfId="20" applyNumberFormat="1" applyFont="1" applyFill="1" applyBorder="1" applyAlignment="1">
      <alignment horizontal="center" vertical="center" wrapText="1"/>
      <protection/>
    </xf>
    <xf numFmtId="179" fontId="16" fillId="2" borderId="1" xfId="20" applyNumberFormat="1" applyFont="1" applyFill="1" applyBorder="1" applyAlignment="1">
      <alignment horizontal="center" vertical="center" wrapText="1"/>
      <protection/>
    </xf>
    <xf numFmtId="164" fontId="8" fillId="2" borderId="53" xfId="20" applyFont="1" applyFill="1" applyBorder="1" applyAlignment="1">
      <alignment horizontal="center" vertical="center" wrapText="1"/>
      <protection/>
    </xf>
    <xf numFmtId="181" fontId="8" fillId="0" borderId="54" xfId="19" applyNumberFormat="1" applyFont="1" applyFill="1" applyBorder="1" applyAlignment="1" applyProtection="1">
      <alignment horizontal="center" vertical="center" wrapText="1"/>
      <protection/>
    </xf>
    <xf numFmtId="181" fontId="13" fillId="0" borderId="54" xfId="19" applyNumberFormat="1" applyFont="1" applyFill="1" applyBorder="1" applyAlignment="1" applyProtection="1">
      <alignment horizontal="center" vertical="center" wrapText="1"/>
      <protection/>
    </xf>
    <xf numFmtId="164" fontId="18" fillId="2" borderId="2" xfId="20" applyFont="1" applyFill="1" applyBorder="1" applyAlignment="1">
      <alignment horizontal="center" vertical="center" wrapText="1"/>
      <protection/>
    </xf>
    <xf numFmtId="164" fontId="18" fillId="2" borderId="18" xfId="20" applyFont="1" applyFill="1" applyBorder="1" applyAlignment="1">
      <alignment horizontal="center" vertical="center" wrapText="1"/>
      <protection/>
    </xf>
    <xf numFmtId="179" fontId="12" fillId="0" borderId="19" xfId="20" applyNumberFormat="1" applyFont="1" applyBorder="1" applyAlignment="1">
      <alignment horizontal="center" vertical="center" wrapText="1"/>
      <protection/>
    </xf>
    <xf numFmtId="179" fontId="17" fillId="0" borderId="19" xfId="20" applyNumberFormat="1" applyFont="1" applyBorder="1" applyAlignment="1">
      <alignment horizontal="center" vertical="center" wrapText="1"/>
      <protection/>
    </xf>
    <xf numFmtId="164" fontId="18" fillId="2" borderId="55" xfId="20" applyFont="1" applyFill="1" applyBorder="1" applyAlignment="1">
      <alignment horizontal="center" vertical="center" wrapText="1"/>
      <protection/>
    </xf>
    <xf numFmtId="172" fontId="12" fillId="0" borderId="56" xfId="19" applyFont="1" applyFill="1" applyBorder="1" applyAlignment="1" applyProtection="1">
      <alignment horizontal="center" vertical="center" wrapText="1"/>
      <protection/>
    </xf>
    <xf numFmtId="172" fontId="17" fillId="0" borderId="56" xfId="19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7DEE8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zoomScale="85" zoomScaleNormal="8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67" sqref="J67"/>
    </sheetView>
  </sheetViews>
  <sheetFormatPr defaultColWidth="11.421875" defaultRowHeight="12.75"/>
  <cols>
    <col min="1" max="3" width="10.7109375" style="1" customWidth="1"/>
    <col min="4" max="5" width="15.8515625" style="1" customWidth="1"/>
    <col min="6" max="6" width="16.7109375" style="1" customWidth="1"/>
    <col min="7" max="7" width="22.140625" style="1" customWidth="1"/>
    <col min="8" max="8" width="13.8515625" style="1" customWidth="1"/>
    <col min="9" max="12" width="14.8515625" style="1" customWidth="1"/>
    <col min="13" max="13" width="16.28125" style="1" customWidth="1"/>
    <col min="14" max="14" width="11.7109375" style="1" customWidth="1"/>
    <col min="15" max="17" width="14.8515625" style="1" customWidth="1"/>
    <col min="18" max="18" width="11.7109375" style="1" customWidth="1"/>
    <col min="19" max="21" width="14.8515625" style="1" customWidth="1"/>
    <col min="22" max="23" width="17.00390625" style="1" customWidth="1"/>
    <col min="24" max="24" width="21.28125" style="1" customWidth="1"/>
    <col min="25" max="16384" width="11.421875" style="1" customWidth="1"/>
  </cols>
  <sheetData>
    <row r="1" spans="1:2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ht="12.75">
      <c r="L2" s="3"/>
    </row>
    <row r="3" spans="2:15" ht="12.75">
      <c r="B3" s="4"/>
      <c r="C3" s="5" t="s">
        <v>1</v>
      </c>
      <c r="F3" s="6"/>
      <c r="G3" s="5" t="s">
        <v>2</v>
      </c>
      <c r="L3" s="3"/>
      <c r="N3" s="3"/>
      <c r="O3" s="3"/>
    </row>
    <row r="4" spans="12:15" ht="12.75">
      <c r="L4" s="3"/>
      <c r="N4" s="3"/>
      <c r="O4" s="3"/>
    </row>
    <row r="5" spans="1:21" ht="15.75" customHeight="1">
      <c r="A5" s="7" t="s">
        <v>3</v>
      </c>
      <c r="B5" s="8" t="s">
        <v>4</v>
      </c>
      <c r="C5" s="9" t="s">
        <v>5</v>
      </c>
      <c r="D5" s="10" t="s">
        <v>6</v>
      </c>
      <c r="E5" s="10"/>
      <c r="F5" s="10"/>
      <c r="G5" s="10"/>
      <c r="H5" s="11" t="s">
        <v>7</v>
      </c>
      <c r="I5" s="10" t="s">
        <v>8</v>
      </c>
      <c r="J5" s="10"/>
      <c r="K5" s="10"/>
      <c r="L5" s="10"/>
      <c r="M5" s="10" t="s">
        <v>9</v>
      </c>
      <c r="N5" s="10"/>
      <c r="O5" s="10"/>
      <c r="P5" s="10"/>
      <c r="Q5" s="10"/>
      <c r="R5" s="10" t="s">
        <v>10</v>
      </c>
      <c r="S5" s="10"/>
      <c r="T5" s="10"/>
      <c r="U5" s="10"/>
    </row>
    <row r="6" spans="1:21" ht="12.75">
      <c r="A6" s="7"/>
      <c r="B6" s="8"/>
      <c r="C6" s="9"/>
      <c r="D6" s="12" t="s">
        <v>11</v>
      </c>
      <c r="E6" s="12" t="s">
        <v>12</v>
      </c>
      <c r="F6" s="12" t="s">
        <v>13</v>
      </c>
      <c r="G6" s="13" t="s">
        <v>14</v>
      </c>
      <c r="H6" s="11"/>
      <c r="I6" s="14" t="s">
        <v>15</v>
      </c>
      <c r="J6" s="15" t="s">
        <v>16</v>
      </c>
      <c r="K6" s="15" t="s">
        <v>17</v>
      </c>
      <c r="L6" s="16" t="s">
        <v>18</v>
      </c>
      <c r="M6" s="17" t="s">
        <v>19</v>
      </c>
      <c r="N6" s="18" t="s">
        <v>20</v>
      </c>
      <c r="O6" s="15" t="s">
        <v>21</v>
      </c>
      <c r="P6" s="15" t="s">
        <v>22</v>
      </c>
      <c r="Q6" s="19" t="s">
        <v>23</v>
      </c>
      <c r="R6" s="17" t="s">
        <v>24</v>
      </c>
      <c r="S6" s="15" t="s">
        <v>21</v>
      </c>
      <c r="T6" s="15" t="s">
        <v>22</v>
      </c>
      <c r="U6" s="19" t="s">
        <v>25</v>
      </c>
    </row>
    <row r="7" spans="1:21" ht="12.75">
      <c r="A7" s="20">
        <v>1970</v>
      </c>
      <c r="B7" s="21"/>
      <c r="C7" s="22"/>
      <c r="D7" s="23"/>
      <c r="E7" s="24">
        <f>D7/6.55957</f>
        <v>0</v>
      </c>
      <c r="F7" s="25">
        <v>8.561</v>
      </c>
      <c r="G7" s="26">
        <f>E7*F7</f>
        <v>0</v>
      </c>
      <c r="H7" s="27">
        <f aca="true" t="shared" si="0" ref="H7:H58">E7/12</f>
        <v>0</v>
      </c>
      <c r="I7" s="28">
        <v>1500</v>
      </c>
      <c r="J7" s="29">
        <f>I7/6.55957</f>
        <v>228.67352585611556</v>
      </c>
      <c r="K7" s="30">
        <f>I7*12</f>
        <v>18000</v>
      </c>
      <c r="L7" s="31">
        <f aca="true" t="shared" si="1" ref="L7:L38">J7*12</f>
        <v>2744.0823102733866</v>
      </c>
      <c r="M7" s="32">
        <v>0.04</v>
      </c>
      <c r="N7" s="33">
        <v>0.04</v>
      </c>
      <c r="O7" s="34">
        <v>7.4018</v>
      </c>
      <c r="P7" s="35">
        <f>O7/6.55957</f>
        <v>1.1283971357878642</v>
      </c>
      <c r="Q7" s="36">
        <f>IF(E7&lt;L7,E7*M7/P7,IF(E7&lt;(3*L7),((L7*M7)+(E7-L7)*N7)/P7,((L7*M7)+(2*L7*N7))/P7))</f>
        <v>0</v>
      </c>
      <c r="R7" s="37">
        <v>0.08</v>
      </c>
      <c r="S7" s="38">
        <v>3.26</v>
      </c>
      <c r="T7" s="39">
        <f>S7/6.55957</f>
        <v>0.4969837961939578</v>
      </c>
      <c r="U7" s="40" t="s">
        <v>26</v>
      </c>
    </row>
    <row r="8" spans="1:21" ht="12.75">
      <c r="A8" s="41">
        <f>A7+1</f>
        <v>1971</v>
      </c>
      <c r="B8" s="42"/>
      <c r="C8" s="43"/>
      <c r="D8" s="44"/>
      <c r="E8" s="45">
        <f aca="true" t="shared" si="2" ref="E8:E12">D8/6.55957</f>
        <v>0</v>
      </c>
      <c r="F8" s="46">
        <v>7.68</v>
      </c>
      <c r="G8" s="47">
        <f aca="true" t="shared" si="3" ref="G8:G12">E8*F8</f>
        <v>0</v>
      </c>
      <c r="H8" s="27">
        <f aca="true" t="shared" si="4" ref="H8:H12">E8/12</f>
        <v>0</v>
      </c>
      <c r="I8" s="28">
        <v>1650</v>
      </c>
      <c r="J8" s="29">
        <f aca="true" t="shared" si="5" ref="J8:J12">I8/6.55957</f>
        <v>251.54087844172713</v>
      </c>
      <c r="K8" s="30">
        <f aca="true" t="shared" si="6" ref="K8:K12">I8*12</f>
        <v>19800</v>
      </c>
      <c r="L8" s="31">
        <f aca="true" t="shared" si="7" ref="L8:L12">J8*12</f>
        <v>3018.4905413007255</v>
      </c>
      <c r="M8" s="32">
        <v>0.04</v>
      </c>
      <c r="N8" s="33">
        <v>0.04</v>
      </c>
      <c r="O8" s="34">
        <v>8.179</v>
      </c>
      <c r="P8" s="48">
        <f aca="true" t="shared" si="8" ref="P8:P12">O8/6.55957</f>
        <v>1.2468805119847794</v>
      </c>
      <c r="Q8" s="36">
        <f aca="true" t="shared" si="9" ref="Q8:Q12">IF(E8&lt;L8,E8*M8/P8,IF(E8&lt;(3*L8),((L8*M8)+(E8-L8)*N8)/P8,((L8*M8)+(2*L8*N8))/P8))</f>
        <v>0</v>
      </c>
      <c r="R8" s="37">
        <v>0.08</v>
      </c>
      <c r="S8" s="38">
        <v>3.55</v>
      </c>
      <c r="T8" s="49">
        <f aca="true" t="shared" si="10" ref="T8:T12">S8/6.55957</f>
        <v>0.5411940111928069</v>
      </c>
      <c r="U8" s="40" t="s">
        <v>26</v>
      </c>
    </row>
    <row r="9" spans="1:21" ht="12.75">
      <c r="A9" s="41">
        <f>A8+1</f>
        <v>1972</v>
      </c>
      <c r="B9" s="42"/>
      <c r="C9" s="43"/>
      <c r="D9" s="44"/>
      <c r="E9" s="45">
        <f t="shared" si="2"/>
        <v>0</v>
      </c>
      <c r="F9" s="46">
        <v>6.92</v>
      </c>
      <c r="G9" s="47">
        <f aca="true" t="shared" si="11" ref="G9:G10">E9*F9</f>
        <v>0</v>
      </c>
      <c r="H9" s="27">
        <f aca="true" t="shared" si="12" ref="H9:H10">E9/12</f>
        <v>0</v>
      </c>
      <c r="I9" s="28">
        <v>1830</v>
      </c>
      <c r="J9" s="29">
        <f t="shared" si="5"/>
        <v>278.981701544461</v>
      </c>
      <c r="K9" s="30">
        <f aca="true" t="shared" si="13" ref="K9:K10">I9*12</f>
        <v>21960</v>
      </c>
      <c r="L9" s="31">
        <f aca="true" t="shared" si="14" ref="L9:L10">J9*12</f>
        <v>3347.7804185335317</v>
      </c>
      <c r="M9" s="32">
        <v>0.04</v>
      </c>
      <c r="N9" s="33">
        <v>0.04</v>
      </c>
      <c r="O9" s="34">
        <v>9.0542</v>
      </c>
      <c r="P9" s="48">
        <f t="shared" si="8"/>
        <v>1.3803038918709611</v>
      </c>
      <c r="Q9" s="36">
        <f aca="true" t="shared" si="15" ref="Q9:Q10">IF(E9&lt;L9,E9*M9/P9,IF(E9&lt;(3*L9),((L9*M9)+(E9-L9)*N9)/P9,((L9*M9)+(2*L9*N9))/P9))</f>
        <v>0</v>
      </c>
      <c r="R9" s="37">
        <v>0.08</v>
      </c>
      <c r="S9" s="38">
        <v>3.88</v>
      </c>
      <c r="T9" s="49">
        <f t="shared" si="10"/>
        <v>0.5915021868811523</v>
      </c>
      <c r="U9" s="40" t="s">
        <v>26</v>
      </c>
    </row>
    <row r="10" spans="1:21" ht="12.75">
      <c r="A10" s="41">
        <f>A9+1</f>
        <v>1973</v>
      </c>
      <c r="B10" s="42"/>
      <c r="C10" s="43"/>
      <c r="D10" s="44"/>
      <c r="E10" s="45">
        <f t="shared" si="2"/>
        <v>0</v>
      </c>
      <c r="F10" s="46">
        <v>6.395</v>
      </c>
      <c r="G10" s="47">
        <f t="shared" si="11"/>
        <v>0</v>
      </c>
      <c r="H10" s="27">
        <f t="shared" si="12"/>
        <v>0</v>
      </c>
      <c r="I10" s="28">
        <v>2040</v>
      </c>
      <c r="J10" s="29">
        <f t="shared" si="5"/>
        <v>310.99599516431715</v>
      </c>
      <c r="K10" s="30">
        <f t="shared" si="13"/>
        <v>24480</v>
      </c>
      <c r="L10" s="31">
        <f t="shared" si="14"/>
        <v>3731.951941971806</v>
      </c>
      <c r="M10" s="32">
        <v>0.04</v>
      </c>
      <c r="N10" s="33">
        <v>0.04</v>
      </c>
      <c r="O10" s="34">
        <v>10.2475</v>
      </c>
      <c r="P10" s="48">
        <f t="shared" si="8"/>
        <v>1.562221304140363</v>
      </c>
      <c r="Q10" s="36">
        <f t="shared" si="15"/>
        <v>0</v>
      </c>
      <c r="R10" s="37">
        <v>0.08</v>
      </c>
      <c r="S10" s="38">
        <v>4.25</v>
      </c>
      <c r="T10" s="49">
        <f t="shared" si="10"/>
        <v>0.6479083232589942</v>
      </c>
      <c r="U10" s="40" t="s">
        <v>26</v>
      </c>
    </row>
    <row r="11" spans="1:21" ht="12.75">
      <c r="A11" s="41">
        <f aca="true" t="shared" si="16" ref="A11:A58">A10+1</f>
        <v>1974</v>
      </c>
      <c r="B11" s="42"/>
      <c r="C11" s="43"/>
      <c r="D11" s="44"/>
      <c r="E11" s="45">
        <f t="shared" si="2"/>
        <v>0</v>
      </c>
      <c r="F11" s="46">
        <v>5.638</v>
      </c>
      <c r="G11" s="47">
        <f t="shared" si="3"/>
        <v>0</v>
      </c>
      <c r="H11" s="27">
        <f t="shared" si="4"/>
        <v>0</v>
      </c>
      <c r="I11" s="28">
        <v>2320</v>
      </c>
      <c r="J11" s="29">
        <f t="shared" si="5"/>
        <v>353.6817199907921</v>
      </c>
      <c r="K11" s="30">
        <f t="shared" si="6"/>
        <v>27840</v>
      </c>
      <c r="L11" s="31">
        <f t="shared" si="7"/>
        <v>4244.180639889505</v>
      </c>
      <c r="M11" s="32">
        <v>0.04</v>
      </c>
      <c r="N11" s="33">
        <v>0.04</v>
      </c>
      <c r="O11" s="34">
        <v>11.8861</v>
      </c>
      <c r="P11" s="48">
        <f t="shared" si="8"/>
        <v>1.8120242637855837</v>
      </c>
      <c r="Q11" s="36">
        <f t="shared" si="9"/>
        <v>0</v>
      </c>
      <c r="R11" s="37">
        <v>0.08</v>
      </c>
      <c r="S11" s="38">
        <v>4.81</v>
      </c>
      <c r="T11" s="49">
        <f t="shared" si="10"/>
        <v>0.7332797729119439</v>
      </c>
      <c r="U11" s="40" t="s">
        <v>26</v>
      </c>
    </row>
    <row r="12" spans="1:21" ht="12.75">
      <c r="A12" s="50">
        <f t="shared" si="16"/>
        <v>1975</v>
      </c>
      <c r="B12" s="42">
        <v>17</v>
      </c>
      <c r="C12" s="43">
        <v>1</v>
      </c>
      <c r="D12" s="44"/>
      <c r="E12" s="45">
        <f t="shared" si="2"/>
        <v>0</v>
      </c>
      <c r="F12" s="46">
        <v>4.746</v>
      </c>
      <c r="G12" s="47">
        <f t="shared" si="3"/>
        <v>0</v>
      </c>
      <c r="H12" s="27">
        <f t="shared" si="4"/>
        <v>0</v>
      </c>
      <c r="I12" s="28">
        <v>2750</v>
      </c>
      <c r="J12" s="29">
        <f t="shared" si="5"/>
        <v>419.23479740287854</v>
      </c>
      <c r="K12" s="30">
        <f t="shared" si="6"/>
        <v>33000</v>
      </c>
      <c r="L12" s="31">
        <f t="shared" si="7"/>
        <v>5030.817568834543</v>
      </c>
      <c r="M12" s="32">
        <v>0.04</v>
      </c>
      <c r="N12" s="33">
        <v>0.04</v>
      </c>
      <c r="O12" s="34">
        <v>13.4455</v>
      </c>
      <c r="P12" s="48">
        <f t="shared" si="8"/>
        <v>2.049753261265601</v>
      </c>
      <c r="Q12" s="36">
        <f t="shared" si="9"/>
        <v>0</v>
      </c>
      <c r="R12" s="37">
        <v>0.08</v>
      </c>
      <c r="S12" s="38">
        <v>5.54</v>
      </c>
      <c r="T12" s="49">
        <f t="shared" si="10"/>
        <v>0.8445675554952535</v>
      </c>
      <c r="U12" s="40" t="s">
        <v>26</v>
      </c>
    </row>
    <row r="13" spans="1:21" ht="12.75">
      <c r="A13" s="41">
        <f t="shared" si="16"/>
        <v>1976</v>
      </c>
      <c r="B13" s="42">
        <f aca="true" t="shared" si="17" ref="B13:B58">B12+1</f>
        <v>18</v>
      </c>
      <c r="C13" s="43">
        <f aca="true" t="shared" si="18" ref="C13:C58">C12+1</f>
        <v>2</v>
      </c>
      <c r="D13" s="51"/>
      <c r="E13" s="52">
        <f aca="true" t="shared" si="19" ref="E13:E38">D13/6.55957</f>
        <v>0</v>
      </c>
      <c r="F13" s="53">
        <v>4.033</v>
      </c>
      <c r="G13" s="54">
        <f aca="true" t="shared" si="20" ref="G13:G58">E13*F13</f>
        <v>0</v>
      </c>
      <c r="H13" s="27">
        <f t="shared" si="0"/>
        <v>0</v>
      </c>
      <c r="I13" s="28">
        <v>3160</v>
      </c>
      <c r="J13" s="29">
        <f aca="true" t="shared" si="21" ref="J13:J38">I13/6.55957</f>
        <v>481.7388944702168</v>
      </c>
      <c r="K13" s="30">
        <f aca="true" t="shared" si="22" ref="K13:K38">I13*12</f>
        <v>37920</v>
      </c>
      <c r="L13" s="31">
        <f t="shared" si="1"/>
        <v>5780.8667336426015</v>
      </c>
      <c r="M13" s="32">
        <v>0.04</v>
      </c>
      <c r="N13" s="37">
        <v>0.04</v>
      </c>
      <c r="O13" s="55">
        <v>15.3777</v>
      </c>
      <c r="P13" s="56">
        <f aca="true" t="shared" si="23" ref="P13:P38">O13/6.55957</f>
        <v>2.3443152523717257</v>
      </c>
      <c r="Q13" s="36">
        <f aca="true" t="shared" si="24" ref="Q13:Q55">IF(E13&lt;L13,E13*M13/P13,IF(E13&lt;(3*L13),((L13*M13)+(E13-L13)*N13)/P13,((L13*M13)+(2*L13*N13))/P13))</f>
        <v>0</v>
      </c>
      <c r="R13" s="57">
        <v>0.08</v>
      </c>
      <c r="S13" s="58">
        <v>6.12</v>
      </c>
      <c r="T13" s="59">
        <f aca="true" t="shared" si="25" ref="T13:T38">S13/6.55957</f>
        <v>0.9329879854929516</v>
      </c>
      <c r="U13" s="40" t="s">
        <v>26</v>
      </c>
    </row>
    <row r="14" spans="1:21" ht="12.75">
      <c r="A14" s="41">
        <f t="shared" si="16"/>
        <v>1977</v>
      </c>
      <c r="B14" s="42">
        <f t="shared" si="17"/>
        <v>19</v>
      </c>
      <c r="C14" s="43">
        <f t="shared" si="18"/>
        <v>3</v>
      </c>
      <c r="D14" s="51"/>
      <c r="E14" s="52">
        <f t="shared" si="19"/>
        <v>0</v>
      </c>
      <c r="F14" s="53">
        <v>3.479</v>
      </c>
      <c r="G14" s="54">
        <f t="shared" si="20"/>
        <v>0</v>
      </c>
      <c r="H14" s="27">
        <f t="shared" si="0"/>
        <v>0</v>
      </c>
      <c r="I14" s="28">
        <v>3610</v>
      </c>
      <c r="J14" s="29">
        <f t="shared" si="21"/>
        <v>550.3409522270515</v>
      </c>
      <c r="K14" s="30">
        <f t="shared" si="22"/>
        <v>43320</v>
      </c>
      <c r="L14" s="31">
        <f t="shared" si="1"/>
        <v>6604.091426724618</v>
      </c>
      <c r="M14" s="32">
        <v>0.04</v>
      </c>
      <c r="N14" s="37">
        <v>0.04</v>
      </c>
      <c r="O14" s="55">
        <v>17.0923</v>
      </c>
      <c r="P14" s="56">
        <f t="shared" si="23"/>
        <v>2.6057043373269897</v>
      </c>
      <c r="Q14" s="36">
        <f t="shared" si="24"/>
        <v>0</v>
      </c>
      <c r="R14" s="57">
        <v>0.08</v>
      </c>
      <c r="S14" s="58">
        <v>6.74</v>
      </c>
      <c r="T14" s="59">
        <f t="shared" si="25"/>
        <v>1.027506376180146</v>
      </c>
      <c r="U14" s="40" t="s">
        <v>26</v>
      </c>
    </row>
    <row r="15" spans="1:21" ht="12.75">
      <c r="A15" s="41">
        <f t="shared" si="16"/>
        <v>1978</v>
      </c>
      <c r="B15" s="42">
        <f t="shared" si="17"/>
        <v>20</v>
      </c>
      <c r="C15" s="43">
        <f t="shared" si="18"/>
        <v>4</v>
      </c>
      <c r="D15" s="51"/>
      <c r="E15" s="52">
        <f t="shared" si="19"/>
        <v>0</v>
      </c>
      <c r="F15" s="53">
        <v>3.129</v>
      </c>
      <c r="G15" s="54">
        <f t="shared" si="20"/>
        <v>0</v>
      </c>
      <c r="H15" s="27">
        <f t="shared" si="0"/>
        <v>0</v>
      </c>
      <c r="I15" s="28">
        <v>4000</v>
      </c>
      <c r="J15" s="29">
        <f t="shared" si="21"/>
        <v>609.7960689496415</v>
      </c>
      <c r="K15" s="30">
        <f t="shared" si="22"/>
        <v>48000</v>
      </c>
      <c r="L15" s="31">
        <f t="shared" si="1"/>
        <v>7317.552827395698</v>
      </c>
      <c r="M15" s="32">
        <v>0.04</v>
      </c>
      <c r="N15" s="37">
        <v>0.04</v>
      </c>
      <c r="O15" s="55">
        <v>19.1075</v>
      </c>
      <c r="P15" s="56">
        <f t="shared" si="23"/>
        <v>2.9129195968638193</v>
      </c>
      <c r="Q15" s="36">
        <f t="shared" si="24"/>
        <v>0</v>
      </c>
      <c r="R15" s="57">
        <v>0.08</v>
      </c>
      <c r="S15" s="58">
        <v>7.42</v>
      </c>
      <c r="T15" s="59">
        <f t="shared" si="25"/>
        <v>1.131171707901585</v>
      </c>
      <c r="U15" s="40" t="s">
        <v>26</v>
      </c>
    </row>
    <row r="16" spans="1:21" ht="12.75">
      <c r="A16" s="41">
        <f t="shared" si="16"/>
        <v>1979</v>
      </c>
      <c r="B16" s="42">
        <f t="shared" si="17"/>
        <v>21</v>
      </c>
      <c r="C16" s="43">
        <f t="shared" si="18"/>
        <v>5</v>
      </c>
      <c r="D16" s="51"/>
      <c r="E16" s="52">
        <f t="shared" si="19"/>
        <v>0</v>
      </c>
      <c r="F16" s="53">
        <v>2.854</v>
      </c>
      <c r="G16" s="54">
        <f t="shared" si="20"/>
        <v>0</v>
      </c>
      <c r="H16" s="27">
        <f t="shared" si="0"/>
        <v>0</v>
      </c>
      <c r="I16" s="28">
        <v>4470</v>
      </c>
      <c r="J16" s="29">
        <f t="shared" si="21"/>
        <v>681.4471070512244</v>
      </c>
      <c r="K16" s="30">
        <f t="shared" si="22"/>
        <v>53640</v>
      </c>
      <c r="L16" s="31">
        <f t="shared" si="1"/>
        <v>8177.365284614692</v>
      </c>
      <c r="M16" s="32">
        <v>0.04</v>
      </c>
      <c r="N16" s="37">
        <v>0.04</v>
      </c>
      <c r="O16" s="55">
        <v>21.5035</v>
      </c>
      <c r="P16" s="56">
        <f t="shared" si="23"/>
        <v>3.278187442164654</v>
      </c>
      <c r="Q16" s="36">
        <f t="shared" si="24"/>
        <v>0</v>
      </c>
      <c r="R16" s="57">
        <v>0.08</v>
      </c>
      <c r="S16" s="58">
        <v>8.29</v>
      </c>
      <c r="T16" s="59">
        <f t="shared" si="25"/>
        <v>1.263802352898132</v>
      </c>
      <c r="U16" s="40" t="s">
        <v>26</v>
      </c>
    </row>
    <row r="17" spans="1:21" ht="12.75">
      <c r="A17" s="41">
        <f t="shared" si="16"/>
        <v>1980</v>
      </c>
      <c r="B17" s="42">
        <f t="shared" si="17"/>
        <v>22</v>
      </c>
      <c r="C17" s="43">
        <f t="shared" si="18"/>
        <v>6</v>
      </c>
      <c r="D17" s="51"/>
      <c r="E17" s="52">
        <f t="shared" si="19"/>
        <v>0</v>
      </c>
      <c r="F17" s="53">
        <v>2.509</v>
      </c>
      <c r="G17" s="54">
        <f t="shared" si="20"/>
        <v>0</v>
      </c>
      <c r="H17" s="27">
        <f t="shared" si="0"/>
        <v>0</v>
      </c>
      <c r="I17" s="28">
        <v>5010</v>
      </c>
      <c r="J17" s="29">
        <f t="shared" si="21"/>
        <v>763.769576359426</v>
      </c>
      <c r="K17" s="30">
        <f t="shared" si="22"/>
        <v>60120</v>
      </c>
      <c r="L17" s="31">
        <f t="shared" si="1"/>
        <v>9165.234916313111</v>
      </c>
      <c r="M17" s="32">
        <v>0.04</v>
      </c>
      <c r="N17" s="37">
        <v>0.04</v>
      </c>
      <c r="O17" s="55">
        <v>24.4173</v>
      </c>
      <c r="P17" s="56">
        <f t="shared" si="23"/>
        <v>3.7223933885910205</v>
      </c>
      <c r="Q17" s="36">
        <f t="shared" si="24"/>
        <v>0</v>
      </c>
      <c r="R17" s="57">
        <v>0.08</v>
      </c>
      <c r="S17" s="58">
        <v>9.42</v>
      </c>
      <c r="T17" s="59">
        <f t="shared" si="25"/>
        <v>1.4360697423764057</v>
      </c>
      <c r="U17" s="40" t="s">
        <v>26</v>
      </c>
    </row>
    <row r="18" spans="1:21" ht="12.75">
      <c r="A18" s="41">
        <f t="shared" si="16"/>
        <v>1981</v>
      </c>
      <c r="B18" s="42">
        <f t="shared" si="17"/>
        <v>23</v>
      </c>
      <c r="C18" s="43">
        <f t="shared" si="18"/>
        <v>7</v>
      </c>
      <c r="D18" s="51"/>
      <c r="E18" s="52">
        <f t="shared" si="19"/>
        <v>0</v>
      </c>
      <c r="F18" s="53">
        <v>2.215</v>
      </c>
      <c r="G18" s="54">
        <f t="shared" si="20"/>
        <v>0</v>
      </c>
      <c r="H18" s="27">
        <f t="shared" si="0"/>
        <v>0</v>
      </c>
      <c r="I18" s="28">
        <v>5730</v>
      </c>
      <c r="J18" s="29">
        <f t="shared" si="21"/>
        <v>873.5328687703615</v>
      </c>
      <c r="K18" s="30">
        <f t="shared" si="22"/>
        <v>68760</v>
      </c>
      <c r="L18" s="31">
        <f t="shared" si="1"/>
        <v>10482.394425244338</v>
      </c>
      <c r="M18" s="32">
        <v>0.04</v>
      </c>
      <c r="N18" s="37">
        <v>0.04</v>
      </c>
      <c r="O18" s="55">
        <v>27.6306</v>
      </c>
      <c r="P18" s="56">
        <f t="shared" si="23"/>
        <v>4.212257815679991</v>
      </c>
      <c r="Q18" s="36">
        <f t="shared" si="24"/>
        <v>0</v>
      </c>
      <c r="R18" s="57">
        <v>0.08</v>
      </c>
      <c r="S18" s="58">
        <v>10.6</v>
      </c>
      <c r="T18" s="59">
        <f t="shared" si="25"/>
        <v>1.61595958271655</v>
      </c>
      <c r="U18" s="40" t="s">
        <v>26</v>
      </c>
    </row>
    <row r="19" spans="1:21" ht="12.75">
      <c r="A19" s="41">
        <f t="shared" si="16"/>
        <v>1982</v>
      </c>
      <c r="B19" s="42">
        <f t="shared" si="17"/>
        <v>24</v>
      </c>
      <c r="C19" s="43">
        <f t="shared" si="18"/>
        <v>8</v>
      </c>
      <c r="D19" s="51"/>
      <c r="E19" s="52">
        <f t="shared" si="19"/>
        <v>0</v>
      </c>
      <c r="F19" s="53">
        <v>1.978</v>
      </c>
      <c r="G19" s="54">
        <f t="shared" si="20"/>
        <v>0</v>
      </c>
      <c r="H19" s="27">
        <f t="shared" si="0"/>
        <v>0</v>
      </c>
      <c r="I19" s="28">
        <v>7080</v>
      </c>
      <c r="J19" s="29">
        <f t="shared" si="21"/>
        <v>1079.3390420408655</v>
      </c>
      <c r="K19" s="30">
        <f t="shared" si="22"/>
        <v>84960</v>
      </c>
      <c r="L19" s="31">
        <f t="shared" si="1"/>
        <v>12952.068504490386</v>
      </c>
      <c r="M19" s="32">
        <v>0.04</v>
      </c>
      <c r="N19" s="37">
        <v>0.04</v>
      </c>
      <c r="O19" s="55">
        <v>31.2612</v>
      </c>
      <c r="P19" s="56">
        <f t="shared" si="23"/>
        <v>4.765739217662134</v>
      </c>
      <c r="Q19" s="36">
        <f t="shared" si="24"/>
        <v>0</v>
      </c>
      <c r="R19" s="57">
        <v>0.08</v>
      </c>
      <c r="S19" s="58">
        <v>11.78</v>
      </c>
      <c r="T19" s="59">
        <f t="shared" si="25"/>
        <v>1.7958494230566941</v>
      </c>
      <c r="U19" s="40" t="s">
        <v>26</v>
      </c>
    </row>
    <row r="20" spans="1:21" ht="12.75">
      <c r="A20" s="41">
        <f t="shared" si="16"/>
        <v>1983</v>
      </c>
      <c r="B20" s="42">
        <f t="shared" si="17"/>
        <v>25</v>
      </c>
      <c r="C20" s="43">
        <f t="shared" si="18"/>
        <v>9</v>
      </c>
      <c r="D20" s="51"/>
      <c r="E20" s="52">
        <f t="shared" si="19"/>
        <v>0</v>
      </c>
      <c r="F20" s="53">
        <v>1.866</v>
      </c>
      <c r="G20" s="54">
        <f t="shared" si="20"/>
        <v>0</v>
      </c>
      <c r="H20" s="27">
        <f t="shared" si="0"/>
        <v>0</v>
      </c>
      <c r="I20" s="28">
        <v>7870</v>
      </c>
      <c r="J20" s="29">
        <f t="shared" si="21"/>
        <v>1199.7737656584197</v>
      </c>
      <c r="K20" s="30">
        <f t="shared" si="22"/>
        <v>94440</v>
      </c>
      <c r="L20" s="31">
        <f t="shared" si="1"/>
        <v>14397.285187901038</v>
      </c>
      <c r="M20" s="32">
        <v>0.04</v>
      </c>
      <c r="N20" s="37">
        <v>0.04</v>
      </c>
      <c r="O20" s="55">
        <v>34.5468</v>
      </c>
      <c r="P20" s="56">
        <f t="shared" si="23"/>
        <v>5.266625708697369</v>
      </c>
      <c r="Q20" s="36">
        <f t="shared" si="24"/>
        <v>0</v>
      </c>
      <c r="R20" s="57">
        <v>0.08</v>
      </c>
      <c r="S20" s="58">
        <v>13.07</v>
      </c>
      <c r="T20" s="59">
        <f t="shared" si="25"/>
        <v>1.9925086552929536</v>
      </c>
      <c r="U20" s="40" t="s">
        <v>26</v>
      </c>
    </row>
    <row r="21" spans="1:21" ht="12.75">
      <c r="A21" s="41">
        <f t="shared" si="16"/>
        <v>1984</v>
      </c>
      <c r="B21" s="42">
        <f t="shared" si="17"/>
        <v>26</v>
      </c>
      <c r="C21" s="43">
        <f t="shared" si="18"/>
        <v>10</v>
      </c>
      <c r="D21" s="51"/>
      <c r="E21" s="52">
        <f t="shared" si="19"/>
        <v>0</v>
      </c>
      <c r="F21" s="53">
        <v>1.769</v>
      </c>
      <c r="G21" s="54">
        <f t="shared" si="20"/>
        <v>0</v>
      </c>
      <c r="H21" s="27">
        <f t="shared" si="0"/>
        <v>0</v>
      </c>
      <c r="I21" s="28">
        <v>8490</v>
      </c>
      <c r="J21" s="29">
        <f t="shared" si="21"/>
        <v>1294.292156345614</v>
      </c>
      <c r="K21" s="30">
        <f t="shared" si="22"/>
        <v>101880</v>
      </c>
      <c r="L21" s="31">
        <f t="shared" si="1"/>
        <v>15531.50587614737</v>
      </c>
      <c r="M21" s="32">
        <v>0.04</v>
      </c>
      <c r="N21" s="37">
        <v>0.04</v>
      </c>
      <c r="O21" s="55">
        <v>37.1205</v>
      </c>
      <c r="P21" s="56">
        <f t="shared" si="23"/>
        <v>5.658983744361292</v>
      </c>
      <c r="Q21" s="36">
        <f t="shared" si="24"/>
        <v>0</v>
      </c>
      <c r="R21" s="57">
        <v>0.08</v>
      </c>
      <c r="S21" s="58">
        <v>13.88</v>
      </c>
      <c r="T21" s="59">
        <f t="shared" si="25"/>
        <v>2.115992359255256</v>
      </c>
      <c r="U21" s="40" t="s">
        <v>26</v>
      </c>
    </row>
    <row r="22" spans="1:21" ht="12.75">
      <c r="A22" s="41">
        <f t="shared" si="16"/>
        <v>1985</v>
      </c>
      <c r="B22" s="42">
        <f t="shared" si="17"/>
        <v>27</v>
      </c>
      <c r="C22" s="43">
        <f t="shared" si="18"/>
        <v>11</v>
      </c>
      <c r="D22" s="51"/>
      <c r="E22" s="52">
        <f t="shared" si="19"/>
        <v>0</v>
      </c>
      <c r="F22" s="53">
        <v>1.6960000000000002</v>
      </c>
      <c r="G22" s="54">
        <f t="shared" si="20"/>
        <v>0</v>
      </c>
      <c r="H22" s="27">
        <f t="shared" si="0"/>
        <v>0</v>
      </c>
      <c r="I22" s="28">
        <v>9060</v>
      </c>
      <c r="J22" s="29">
        <f t="shared" si="21"/>
        <v>1381.188096170938</v>
      </c>
      <c r="K22" s="30">
        <f t="shared" si="22"/>
        <v>108720</v>
      </c>
      <c r="L22" s="31">
        <f t="shared" si="1"/>
        <v>16574.257154051258</v>
      </c>
      <c r="M22" s="32">
        <v>0.04</v>
      </c>
      <c r="N22" s="37">
        <v>0.04</v>
      </c>
      <c r="O22" s="55">
        <v>39.7189</v>
      </c>
      <c r="P22" s="56">
        <f t="shared" si="23"/>
        <v>6.0551072707509785</v>
      </c>
      <c r="Q22" s="36">
        <f t="shared" si="24"/>
        <v>0</v>
      </c>
      <c r="R22" s="57">
        <v>0.08</v>
      </c>
      <c r="S22" s="58">
        <v>14.82</v>
      </c>
      <c r="T22" s="59">
        <f t="shared" si="25"/>
        <v>2.259294435458422</v>
      </c>
      <c r="U22" s="40" t="s">
        <v>26</v>
      </c>
    </row>
    <row r="23" spans="1:21" ht="12.75">
      <c r="A23" s="41">
        <f t="shared" si="16"/>
        <v>1986</v>
      </c>
      <c r="B23" s="42">
        <f t="shared" si="17"/>
        <v>28</v>
      </c>
      <c r="C23" s="43">
        <f t="shared" si="18"/>
        <v>12</v>
      </c>
      <c r="D23" s="51"/>
      <c r="E23" s="52">
        <f t="shared" si="19"/>
        <v>0</v>
      </c>
      <c r="F23" s="53">
        <v>1.657</v>
      </c>
      <c r="G23" s="54">
        <f t="shared" si="20"/>
        <v>0</v>
      </c>
      <c r="H23" s="27">
        <f t="shared" si="0"/>
        <v>0</v>
      </c>
      <c r="I23" s="28">
        <v>9480</v>
      </c>
      <c r="J23" s="29">
        <f t="shared" si="21"/>
        <v>1445.2166834106504</v>
      </c>
      <c r="K23" s="30">
        <f t="shared" si="22"/>
        <v>113760</v>
      </c>
      <c r="L23" s="31">
        <f t="shared" si="1"/>
        <v>17342.600200927805</v>
      </c>
      <c r="M23" s="32">
        <v>0.04</v>
      </c>
      <c r="N23" s="37">
        <v>0.04</v>
      </c>
      <c r="O23" s="55">
        <v>41.6056</v>
      </c>
      <c r="P23" s="56">
        <f t="shared" si="23"/>
        <v>6.3427328315728015</v>
      </c>
      <c r="Q23" s="36">
        <f t="shared" si="24"/>
        <v>0</v>
      </c>
      <c r="R23" s="57">
        <v>0.08</v>
      </c>
      <c r="S23" s="58">
        <v>15.6</v>
      </c>
      <c r="T23" s="59">
        <f t="shared" si="25"/>
        <v>2.378204668903602</v>
      </c>
      <c r="U23" s="40" t="s">
        <v>26</v>
      </c>
    </row>
    <row r="24" spans="1:21" ht="12.75">
      <c r="A24" s="41">
        <f t="shared" si="16"/>
        <v>1987</v>
      </c>
      <c r="B24" s="42">
        <f t="shared" si="17"/>
        <v>29</v>
      </c>
      <c r="C24" s="43">
        <f t="shared" si="18"/>
        <v>13</v>
      </c>
      <c r="D24" s="51"/>
      <c r="E24" s="52">
        <f t="shared" si="19"/>
        <v>0</v>
      </c>
      <c r="F24" s="53">
        <v>1.597</v>
      </c>
      <c r="G24" s="54">
        <f t="shared" si="20"/>
        <v>0</v>
      </c>
      <c r="H24" s="27">
        <f t="shared" si="0"/>
        <v>0</v>
      </c>
      <c r="I24" s="28">
        <v>9840</v>
      </c>
      <c r="J24" s="29">
        <f t="shared" si="21"/>
        <v>1500.0983296161182</v>
      </c>
      <c r="K24" s="30">
        <f t="shared" si="22"/>
        <v>118080</v>
      </c>
      <c r="L24" s="31">
        <f t="shared" si="1"/>
        <v>18001.179955393418</v>
      </c>
      <c r="M24" s="32">
        <v>0.04</v>
      </c>
      <c r="N24" s="37">
        <v>0.04</v>
      </c>
      <c r="O24" s="55">
        <v>43.3073</v>
      </c>
      <c r="P24" s="56">
        <f t="shared" si="23"/>
        <v>6.602155324205702</v>
      </c>
      <c r="Q24" s="36">
        <f t="shared" si="24"/>
        <v>0</v>
      </c>
      <c r="R24" s="57">
        <v>0.08</v>
      </c>
      <c r="S24" s="58">
        <v>16.02</v>
      </c>
      <c r="T24" s="59">
        <f t="shared" si="25"/>
        <v>2.4422332561433144</v>
      </c>
      <c r="U24" s="40" t="s">
        <v>26</v>
      </c>
    </row>
    <row r="25" spans="1:21" ht="12.75">
      <c r="A25" s="41">
        <f t="shared" si="16"/>
        <v>1988</v>
      </c>
      <c r="B25" s="42">
        <f t="shared" si="17"/>
        <v>30</v>
      </c>
      <c r="C25" s="43">
        <f t="shared" si="18"/>
        <v>14</v>
      </c>
      <c r="D25" s="51"/>
      <c r="E25" s="52">
        <f t="shared" si="19"/>
        <v>0</v>
      </c>
      <c r="F25" s="53">
        <v>1.56</v>
      </c>
      <c r="G25" s="54">
        <f t="shared" si="20"/>
        <v>0</v>
      </c>
      <c r="H25" s="27">
        <f t="shared" si="0"/>
        <v>0</v>
      </c>
      <c r="I25" s="28">
        <v>10110</v>
      </c>
      <c r="J25" s="29">
        <f t="shared" si="21"/>
        <v>1541.259564270219</v>
      </c>
      <c r="K25" s="30">
        <f t="shared" si="22"/>
        <v>121320</v>
      </c>
      <c r="L25" s="31">
        <f t="shared" si="1"/>
        <v>18495.11477124263</v>
      </c>
      <c r="M25" s="32">
        <v>0.04</v>
      </c>
      <c r="N25" s="37">
        <v>0.04</v>
      </c>
      <c r="O25" s="55">
        <v>45.0742</v>
      </c>
      <c r="P25" s="56">
        <f t="shared" si="23"/>
        <v>6.871517492762482</v>
      </c>
      <c r="Q25" s="36">
        <f t="shared" si="24"/>
        <v>0</v>
      </c>
      <c r="R25" s="57">
        <v>0.08</v>
      </c>
      <c r="S25" s="58">
        <v>16.68</v>
      </c>
      <c r="T25" s="59">
        <f t="shared" si="25"/>
        <v>2.5428496075200053</v>
      </c>
      <c r="U25" s="40" t="s">
        <v>26</v>
      </c>
    </row>
    <row r="26" spans="1:21" ht="12.75">
      <c r="A26" s="41">
        <f t="shared" si="16"/>
        <v>1989</v>
      </c>
      <c r="B26" s="42">
        <f t="shared" si="17"/>
        <v>31</v>
      </c>
      <c r="C26" s="43">
        <f t="shared" si="18"/>
        <v>15</v>
      </c>
      <c r="D26" s="51"/>
      <c r="E26" s="52">
        <f t="shared" si="19"/>
        <v>0</v>
      </c>
      <c r="F26" s="53">
        <v>1.504</v>
      </c>
      <c r="G26" s="54">
        <f t="shared" si="20"/>
        <v>0</v>
      </c>
      <c r="H26" s="27">
        <f t="shared" si="0"/>
        <v>0</v>
      </c>
      <c r="I26" s="28">
        <v>10540</v>
      </c>
      <c r="J26" s="29">
        <f t="shared" si="21"/>
        <v>1606.8126416823054</v>
      </c>
      <c r="K26" s="30">
        <f t="shared" si="22"/>
        <v>126480</v>
      </c>
      <c r="L26" s="31">
        <f t="shared" si="1"/>
        <v>19281.751700187666</v>
      </c>
      <c r="M26" s="32">
        <v>0.04</v>
      </c>
      <c r="N26" s="37">
        <v>0.04</v>
      </c>
      <c r="O26" s="55">
        <v>47.1521</v>
      </c>
      <c r="P26" s="56">
        <f t="shared" si="23"/>
        <v>7.188291305680098</v>
      </c>
      <c r="Q26" s="36">
        <f t="shared" si="24"/>
        <v>0</v>
      </c>
      <c r="R26" s="57">
        <v>0.08</v>
      </c>
      <c r="S26" s="58">
        <v>17.41</v>
      </c>
      <c r="T26" s="59">
        <f t="shared" si="25"/>
        <v>2.654137390103315</v>
      </c>
      <c r="U26" s="40" t="s">
        <v>26</v>
      </c>
    </row>
    <row r="27" spans="1:21" ht="12.75">
      <c r="A27" s="41">
        <f t="shared" si="16"/>
        <v>1990</v>
      </c>
      <c r="B27" s="42">
        <f t="shared" si="17"/>
        <v>32</v>
      </c>
      <c r="C27" s="43">
        <f t="shared" si="18"/>
        <v>16</v>
      </c>
      <c r="D27" s="51"/>
      <c r="E27" s="52">
        <f t="shared" si="19"/>
        <v>0</v>
      </c>
      <c r="F27" s="53">
        <v>1.464</v>
      </c>
      <c r="G27" s="54">
        <f t="shared" si="20"/>
        <v>0</v>
      </c>
      <c r="H27" s="27">
        <f t="shared" si="0"/>
        <v>0</v>
      </c>
      <c r="I27" s="28">
        <v>11040</v>
      </c>
      <c r="J27" s="29">
        <f t="shared" si="21"/>
        <v>1683.0371503010106</v>
      </c>
      <c r="K27" s="30">
        <f t="shared" si="22"/>
        <v>132480</v>
      </c>
      <c r="L27" s="31">
        <f t="shared" si="1"/>
        <v>20196.44580361213</v>
      </c>
      <c r="M27" s="32">
        <v>0.04</v>
      </c>
      <c r="N27" s="37">
        <v>0.04</v>
      </c>
      <c r="O27" s="55">
        <v>49.4956</v>
      </c>
      <c r="P27" s="56">
        <f t="shared" si="23"/>
        <v>7.5455555775759695</v>
      </c>
      <c r="Q27" s="36">
        <f t="shared" si="24"/>
        <v>0</v>
      </c>
      <c r="R27" s="57">
        <v>0.08</v>
      </c>
      <c r="S27" s="58">
        <v>18.21</v>
      </c>
      <c r="T27" s="59">
        <f t="shared" si="25"/>
        <v>2.7760966038932433</v>
      </c>
      <c r="U27" s="40" t="s">
        <v>26</v>
      </c>
    </row>
    <row r="28" spans="1:21" ht="12.75">
      <c r="A28" s="41">
        <f t="shared" si="16"/>
        <v>1991</v>
      </c>
      <c r="B28" s="42">
        <f t="shared" si="17"/>
        <v>33</v>
      </c>
      <c r="C28" s="43">
        <f t="shared" si="18"/>
        <v>17</v>
      </c>
      <c r="D28" s="51"/>
      <c r="E28" s="52">
        <f t="shared" si="19"/>
        <v>0</v>
      </c>
      <c r="F28" s="53">
        <v>1.441</v>
      </c>
      <c r="G28" s="54">
        <f t="shared" si="20"/>
        <v>0</v>
      </c>
      <c r="H28" s="27">
        <f t="shared" si="0"/>
        <v>0</v>
      </c>
      <c r="I28" s="28">
        <v>11620</v>
      </c>
      <c r="J28" s="29">
        <f t="shared" si="21"/>
        <v>1771.4575802987085</v>
      </c>
      <c r="K28" s="30">
        <f t="shared" si="22"/>
        <v>139440</v>
      </c>
      <c r="L28" s="31">
        <f t="shared" si="1"/>
        <v>21257.490963584503</v>
      </c>
      <c r="M28" s="32">
        <v>0.04</v>
      </c>
      <c r="N28" s="37">
        <v>0.04</v>
      </c>
      <c r="O28" s="55">
        <v>51.7526</v>
      </c>
      <c r="P28" s="56">
        <f t="shared" si="23"/>
        <v>7.8896330094808045</v>
      </c>
      <c r="Q28" s="36">
        <f t="shared" si="24"/>
        <v>0</v>
      </c>
      <c r="R28" s="57">
        <v>0.08</v>
      </c>
      <c r="S28" s="58">
        <v>18.8</v>
      </c>
      <c r="T28" s="59">
        <f t="shared" si="25"/>
        <v>2.8660415240633155</v>
      </c>
      <c r="U28" s="40" t="s">
        <v>26</v>
      </c>
    </row>
    <row r="29" spans="1:21" ht="12.75">
      <c r="A29" s="41">
        <f t="shared" si="16"/>
        <v>1992</v>
      </c>
      <c r="B29" s="42">
        <f t="shared" si="17"/>
        <v>34</v>
      </c>
      <c r="C29" s="43">
        <f t="shared" si="18"/>
        <v>18</v>
      </c>
      <c r="D29" s="51"/>
      <c r="E29" s="52">
        <f t="shared" si="19"/>
        <v>0</v>
      </c>
      <c r="F29" s="53">
        <v>1.395</v>
      </c>
      <c r="G29" s="54">
        <f t="shared" si="20"/>
        <v>0</v>
      </c>
      <c r="H29" s="27">
        <f t="shared" si="0"/>
        <v>0</v>
      </c>
      <c r="I29" s="28">
        <v>12150</v>
      </c>
      <c r="J29" s="29">
        <f t="shared" si="21"/>
        <v>1852.255559434536</v>
      </c>
      <c r="K29" s="30">
        <f t="shared" si="22"/>
        <v>145800</v>
      </c>
      <c r="L29" s="31">
        <f t="shared" si="1"/>
        <v>22227.066713214434</v>
      </c>
      <c r="M29" s="32">
        <v>0.04</v>
      </c>
      <c r="N29" s="37">
        <v>0.04</v>
      </c>
      <c r="O29" s="55">
        <v>53.8279</v>
      </c>
      <c r="P29" s="56">
        <f t="shared" si="23"/>
        <v>8.206010454953603</v>
      </c>
      <c r="Q29" s="36">
        <f t="shared" si="24"/>
        <v>0</v>
      </c>
      <c r="R29" s="57">
        <v>0.08</v>
      </c>
      <c r="S29" s="58">
        <v>19.23</v>
      </c>
      <c r="T29" s="59">
        <f t="shared" si="25"/>
        <v>2.9315946014754015</v>
      </c>
      <c r="U29" s="40" t="s">
        <v>26</v>
      </c>
    </row>
    <row r="30" spans="1:21" ht="12.75">
      <c r="A30" s="41">
        <f t="shared" si="16"/>
        <v>1993</v>
      </c>
      <c r="B30" s="42">
        <f t="shared" si="17"/>
        <v>35</v>
      </c>
      <c r="C30" s="43">
        <f t="shared" si="18"/>
        <v>19</v>
      </c>
      <c r="D30" s="51"/>
      <c r="E30" s="52">
        <f t="shared" si="19"/>
        <v>0</v>
      </c>
      <c r="F30" s="53">
        <v>1.395</v>
      </c>
      <c r="G30" s="54">
        <f t="shared" si="20"/>
        <v>0</v>
      </c>
      <c r="H30" s="27">
        <f t="shared" si="0"/>
        <v>0</v>
      </c>
      <c r="I30" s="28">
        <v>12610</v>
      </c>
      <c r="J30" s="29">
        <f t="shared" si="21"/>
        <v>1922.3821073637448</v>
      </c>
      <c r="K30" s="30">
        <f t="shared" si="22"/>
        <v>151320</v>
      </c>
      <c r="L30" s="31">
        <f t="shared" si="1"/>
        <v>23068.58528836494</v>
      </c>
      <c r="M30" s="32">
        <v>0.04</v>
      </c>
      <c r="N30" s="37">
        <v>0.04</v>
      </c>
      <c r="O30" s="55">
        <v>55.8464</v>
      </c>
      <c r="P30" s="56">
        <f t="shared" si="23"/>
        <v>8.513728796247316</v>
      </c>
      <c r="Q30" s="36">
        <f t="shared" si="24"/>
        <v>0</v>
      </c>
      <c r="R30" s="57">
        <v>0.08</v>
      </c>
      <c r="S30" s="58">
        <v>19.28</v>
      </c>
      <c r="T30" s="59">
        <f t="shared" si="25"/>
        <v>2.9392170523372725</v>
      </c>
      <c r="U30" s="40" t="s">
        <v>26</v>
      </c>
    </row>
    <row r="31" spans="1:21" ht="12.75">
      <c r="A31" s="41">
        <f t="shared" si="16"/>
        <v>1994</v>
      </c>
      <c r="B31" s="42">
        <f t="shared" si="17"/>
        <v>36</v>
      </c>
      <c r="C31" s="43">
        <f t="shared" si="18"/>
        <v>20</v>
      </c>
      <c r="D31" s="51"/>
      <c r="E31" s="52">
        <f t="shared" si="19"/>
        <v>0</v>
      </c>
      <c r="F31" s="53">
        <v>1.37</v>
      </c>
      <c r="G31" s="54">
        <f t="shared" si="20"/>
        <v>0</v>
      </c>
      <c r="H31" s="27">
        <f t="shared" si="0"/>
        <v>0</v>
      </c>
      <c r="I31" s="28">
        <v>12840</v>
      </c>
      <c r="J31" s="29">
        <f t="shared" si="21"/>
        <v>1957.4453813283492</v>
      </c>
      <c r="K31" s="30">
        <f t="shared" si="22"/>
        <v>154080</v>
      </c>
      <c r="L31" s="31">
        <f t="shared" si="1"/>
        <v>23489.34457594019</v>
      </c>
      <c r="M31" s="32">
        <v>0.04</v>
      </c>
      <c r="N31" s="37">
        <v>0.04</v>
      </c>
      <c r="O31" s="55">
        <v>56.7623</v>
      </c>
      <c r="P31" s="56">
        <f t="shared" si="23"/>
        <v>8.65335685113506</v>
      </c>
      <c r="Q31" s="36">
        <f t="shared" si="24"/>
        <v>0</v>
      </c>
      <c r="R31" s="57">
        <v>0.08</v>
      </c>
      <c r="S31" s="58">
        <v>19.52</v>
      </c>
      <c r="T31" s="59">
        <f t="shared" si="25"/>
        <v>2.9758048164742505</v>
      </c>
      <c r="U31" s="40" t="s">
        <v>26</v>
      </c>
    </row>
    <row r="32" spans="1:21" ht="12.75">
      <c r="A32" s="41">
        <f t="shared" si="16"/>
        <v>1995</v>
      </c>
      <c r="B32" s="42">
        <f t="shared" si="17"/>
        <v>37</v>
      </c>
      <c r="C32" s="43">
        <f t="shared" si="18"/>
        <v>21</v>
      </c>
      <c r="D32" s="51"/>
      <c r="E32" s="52">
        <f t="shared" si="19"/>
        <v>0</v>
      </c>
      <c r="F32" s="53">
        <v>1.354</v>
      </c>
      <c r="G32" s="60">
        <f t="shared" si="20"/>
        <v>0</v>
      </c>
      <c r="H32" s="27">
        <f t="shared" si="0"/>
        <v>0</v>
      </c>
      <c r="I32" s="28">
        <v>13060</v>
      </c>
      <c r="J32" s="29">
        <f t="shared" si="21"/>
        <v>1990.9841651205795</v>
      </c>
      <c r="K32" s="30">
        <f t="shared" si="22"/>
        <v>156720</v>
      </c>
      <c r="L32" s="31">
        <f t="shared" si="1"/>
        <v>23891.809981446953</v>
      </c>
      <c r="M32" s="32">
        <v>0.04</v>
      </c>
      <c r="N32" s="37">
        <v>0.04</v>
      </c>
      <c r="O32" s="55">
        <v>57.7272</v>
      </c>
      <c r="P32" s="56">
        <f t="shared" si="23"/>
        <v>8.800454907867437</v>
      </c>
      <c r="Q32" s="36">
        <f t="shared" si="24"/>
        <v>0</v>
      </c>
      <c r="R32" s="57">
        <v>0.08</v>
      </c>
      <c r="S32" s="58">
        <v>20.03</v>
      </c>
      <c r="T32" s="59">
        <f t="shared" si="25"/>
        <v>3.0535538152653303</v>
      </c>
      <c r="U32" s="40" t="s">
        <v>26</v>
      </c>
    </row>
    <row r="33" spans="1:21" ht="12.75">
      <c r="A33" s="41">
        <f t="shared" si="16"/>
        <v>1996</v>
      </c>
      <c r="B33" s="42">
        <f t="shared" si="17"/>
        <v>38</v>
      </c>
      <c r="C33" s="43">
        <f t="shared" si="18"/>
        <v>22</v>
      </c>
      <c r="D33" s="51"/>
      <c r="E33" s="52">
        <f t="shared" si="19"/>
        <v>0</v>
      </c>
      <c r="F33" s="53">
        <v>1.321</v>
      </c>
      <c r="G33" s="60">
        <f t="shared" si="20"/>
        <v>0</v>
      </c>
      <c r="H33" s="27">
        <f t="shared" si="0"/>
        <v>0</v>
      </c>
      <c r="I33" s="28">
        <v>13540</v>
      </c>
      <c r="J33" s="29">
        <f t="shared" si="21"/>
        <v>2064.1596933945366</v>
      </c>
      <c r="K33" s="30">
        <f t="shared" si="22"/>
        <v>162480</v>
      </c>
      <c r="L33" s="31">
        <f t="shared" si="1"/>
        <v>24769.91632073444</v>
      </c>
      <c r="M33" s="32">
        <v>0.045</v>
      </c>
      <c r="N33" s="37">
        <v>0.045</v>
      </c>
      <c r="O33" s="55">
        <v>61.0177</v>
      </c>
      <c r="P33" s="56">
        <f t="shared" si="23"/>
        <v>9.302088399087134</v>
      </c>
      <c r="Q33" s="36">
        <f t="shared" si="24"/>
        <v>0</v>
      </c>
      <c r="R33" s="57">
        <v>0.13</v>
      </c>
      <c r="S33" s="58">
        <v>21.16</v>
      </c>
      <c r="T33" s="59">
        <f t="shared" si="25"/>
        <v>3.2258212047436037</v>
      </c>
      <c r="U33" s="40" t="s">
        <v>26</v>
      </c>
    </row>
    <row r="34" spans="1:21" ht="12.75">
      <c r="A34" s="41">
        <f t="shared" si="16"/>
        <v>1997</v>
      </c>
      <c r="B34" s="42">
        <f t="shared" si="17"/>
        <v>39</v>
      </c>
      <c r="C34" s="43">
        <f t="shared" si="18"/>
        <v>23</v>
      </c>
      <c r="D34" s="51"/>
      <c r="E34" s="52">
        <f t="shared" si="19"/>
        <v>0</v>
      </c>
      <c r="F34" s="53">
        <v>1.307</v>
      </c>
      <c r="G34" s="60">
        <f t="shared" si="20"/>
        <v>0</v>
      </c>
      <c r="H34" s="27">
        <f t="shared" si="0"/>
        <v>0</v>
      </c>
      <c r="I34" s="28">
        <v>13720</v>
      </c>
      <c r="J34" s="29">
        <f t="shared" si="21"/>
        <v>2091.6005164972703</v>
      </c>
      <c r="K34" s="30">
        <f t="shared" si="22"/>
        <v>164640</v>
      </c>
      <c r="L34" s="31">
        <f t="shared" si="1"/>
        <v>25099.206197967243</v>
      </c>
      <c r="M34" s="32">
        <v>0.05</v>
      </c>
      <c r="N34" s="37">
        <v>0.05</v>
      </c>
      <c r="O34" s="55">
        <v>64.4957</v>
      </c>
      <c r="P34" s="56">
        <f t="shared" si="23"/>
        <v>9.83230608103885</v>
      </c>
      <c r="Q34" s="36">
        <f t="shared" si="24"/>
        <v>0</v>
      </c>
      <c r="R34" s="57">
        <v>0.14</v>
      </c>
      <c r="S34" s="58">
        <v>22.26</v>
      </c>
      <c r="T34" s="59">
        <f t="shared" si="25"/>
        <v>3.393515123704755</v>
      </c>
      <c r="U34" s="40" t="s">
        <v>26</v>
      </c>
    </row>
    <row r="35" spans="1:21" ht="12.75">
      <c r="A35" s="41">
        <f t="shared" si="16"/>
        <v>1998</v>
      </c>
      <c r="B35" s="42">
        <f t="shared" si="17"/>
        <v>40</v>
      </c>
      <c r="C35" s="43">
        <f t="shared" si="18"/>
        <v>24</v>
      </c>
      <c r="D35" s="51"/>
      <c r="E35" s="52">
        <f t="shared" si="19"/>
        <v>0</v>
      </c>
      <c r="F35" s="53">
        <v>1.293</v>
      </c>
      <c r="G35" s="60">
        <f t="shared" si="20"/>
        <v>0</v>
      </c>
      <c r="H35" s="27">
        <f t="shared" si="0"/>
        <v>0</v>
      </c>
      <c r="I35" s="28">
        <v>14090</v>
      </c>
      <c r="J35" s="29">
        <f t="shared" si="21"/>
        <v>2148.006652875112</v>
      </c>
      <c r="K35" s="30">
        <f t="shared" si="22"/>
        <v>169080</v>
      </c>
      <c r="L35" s="31">
        <f t="shared" si="1"/>
        <v>25776.079834501346</v>
      </c>
      <c r="M35" s="32">
        <v>0.055</v>
      </c>
      <c r="N35" s="61">
        <v>0.055</v>
      </c>
      <c r="O35" s="62">
        <v>68.1075</v>
      </c>
      <c r="P35" s="56">
        <f t="shared" si="23"/>
        <v>10.382921441496928</v>
      </c>
      <c r="Q35" s="36">
        <f t="shared" si="24"/>
        <v>0</v>
      </c>
      <c r="R35" s="57">
        <v>0.15</v>
      </c>
      <c r="S35" s="63">
        <v>23.1</v>
      </c>
      <c r="T35" s="59">
        <f t="shared" si="25"/>
        <v>3.52157229818418</v>
      </c>
      <c r="U35" s="40" t="s">
        <v>26</v>
      </c>
    </row>
    <row r="36" spans="1:21" ht="12.75">
      <c r="A36" s="41">
        <f t="shared" si="16"/>
        <v>1999</v>
      </c>
      <c r="B36" s="42">
        <f t="shared" si="17"/>
        <v>41</v>
      </c>
      <c r="C36" s="43">
        <f t="shared" si="18"/>
        <v>25</v>
      </c>
      <c r="D36" s="51"/>
      <c r="E36" s="52">
        <f t="shared" si="19"/>
        <v>0</v>
      </c>
      <c r="F36" s="53">
        <v>1.278</v>
      </c>
      <c r="G36" s="60">
        <f t="shared" si="20"/>
        <v>0</v>
      </c>
      <c r="H36" s="27">
        <f t="shared" si="0"/>
        <v>0</v>
      </c>
      <c r="I36" s="28">
        <v>14470</v>
      </c>
      <c r="J36" s="29">
        <f t="shared" si="21"/>
        <v>2205.937279425328</v>
      </c>
      <c r="K36" s="30">
        <f t="shared" si="22"/>
        <v>173640</v>
      </c>
      <c r="L36" s="31">
        <f t="shared" si="1"/>
        <v>26471.247353103936</v>
      </c>
      <c r="M36" s="32">
        <v>0.06</v>
      </c>
      <c r="N36" s="37">
        <v>0.06</v>
      </c>
      <c r="O36" s="64">
        <v>71.8534</v>
      </c>
      <c r="P36" s="56">
        <f t="shared" si="23"/>
        <v>10.953980215166542</v>
      </c>
      <c r="Q36" s="36">
        <f t="shared" si="24"/>
        <v>0</v>
      </c>
      <c r="R36" s="57">
        <v>0.16</v>
      </c>
      <c r="S36" s="58">
        <v>24.69</v>
      </c>
      <c r="T36" s="59">
        <f t="shared" si="25"/>
        <v>3.7639662355916625</v>
      </c>
      <c r="U36" s="40" t="s">
        <v>26</v>
      </c>
    </row>
    <row r="37" spans="1:21" ht="12.75">
      <c r="A37" s="41">
        <f t="shared" si="16"/>
        <v>2000</v>
      </c>
      <c r="B37" s="42">
        <f t="shared" si="17"/>
        <v>42</v>
      </c>
      <c r="C37" s="43">
        <f t="shared" si="18"/>
        <v>26</v>
      </c>
      <c r="D37" s="51"/>
      <c r="E37" s="52">
        <f t="shared" si="19"/>
        <v>0</v>
      </c>
      <c r="F37" s="53">
        <v>1.271</v>
      </c>
      <c r="G37" s="60">
        <f t="shared" si="20"/>
        <v>0</v>
      </c>
      <c r="H37" s="27">
        <f t="shared" si="0"/>
        <v>0</v>
      </c>
      <c r="I37" s="28">
        <v>14700</v>
      </c>
      <c r="J37" s="29">
        <f t="shared" si="21"/>
        <v>2241.0005533899325</v>
      </c>
      <c r="K37" s="30">
        <f t="shared" si="22"/>
        <v>176400</v>
      </c>
      <c r="L37" s="31">
        <f t="shared" si="1"/>
        <v>26892.00664067919</v>
      </c>
      <c r="M37" s="32">
        <v>0.06</v>
      </c>
      <c r="N37" s="37">
        <v>0.1</v>
      </c>
      <c r="O37" s="64">
        <v>75.6616</v>
      </c>
      <c r="P37" s="56">
        <f t="shared" si="23"/>
        <v>11.53453656261005</v>
      </c>
      <c r="Q37" s="36">
        <f t="shared" si="24"/>
        <v>0</v>
      </c>
      <c r="R37" s="57">
        <v>0.16</v>
      </c>
      <c r="S37" s="58">
        <v>26.39</v>
      </c>
      <c r="T37" s="59">
        <f t="shared" si="25"/>
        <v>4.02312956489526</v>
      </c>
      <c r="U37" s="40" t="s">
        <v>26</v>
      </c>
    </row>
    <row r="38" spans="1:21" ht="12.75">
      <c r="A38" s="41">
        <f t="shared" si="16"/>
        <v>2001</v>
      </c>
      <c r="B38" s="42">
        <f t="shared" si="17"/>
        <v>43</v>
      </c>
      <c r="C38" s="43">
        <f t="shared" si="18"/>
        <v>27</v>
      </c>
      <c r="D38" s="51"/>
      <c r="E38" s="52">
        <f t="shared" si="19"/>
        <v>0</v>
      </c>
      <c r="F38" s="53">
        <v>1.246</v>
      </c>
      <c r="G38" s="60">
        <f t="shared" si="20"/>
        <v>0</v>
      </c>
      <c r="H38" s="27">
        <f t="shared" si="0"/>
        <v>0</v>
      </c>
      <c r="I38" s="28">
        <v>14950</v>
      </c>
      <c r="J38" s="29">
        <f t="shared" si="21"/>
        <v>2279.112807699285</v>
      </c>
      <c r="K38" s="30">
        <f t="shared" si="22"/>
        <v>179400</v>
      </c>
      <c r="L38" s="31">
        <f t="shared" si="1"/>
        <v>27349.35369239142</v>
      </c>
      <c r="M38" s="32">
        <v>0.06</v>
      </c>
      <c r="N38" s="37">
        <v>0.1</v>
      </c>
      <c r="O38" s="64">
        <v>76.7965</v>
      </c>
      <c r="P38" s="56">
        <f t="shared" si="23"/>
        <v>11.707550952272786</v>
      </c>
      <c r="Q38" s="36">
        <f t="shared" si="24"/>
        <v>0</v>
      </c>
      <c r="R38" s="57">
        <v>0.16</v>
      </c>
      <c r="S38" s="58">
        <v>26.79</v>
      </c>
      <c r="T38" s="59">
        <f t="shared" si="25"/>
        <v>4.084109171790224</v>
      </c>
      <c r="U38" s="40" t="s">
        <v>26</v>
      </c>
    </row>
    <row r="39" spans="1:21" ht="12.75">
      <c r="A39" s="41">
        <f t="shared" si="16"/>
        <v>2002</v>
      </c>
      <c r="B39" s="42">
        <f t="shared" si="17"/>
        <v>44</v>
      </c>
      <c r="C39" s="43">
        <f t="shared" si="18"/>
        <v>28</v>
      </c>
      <c r="D39" s="65"/>
      <c r="E39" s="66"/>
      <c r="F39" s="53">
        <v>1.219</v>
      </c>
      <c r="G39" s="60">
        <f t="shared" si="20"/>
        <v>0</v>
      </c>
      <c r="H39" s="27">
        <f t="shared" si="0"/>
        <v>0</v>
      </c>
      <c r="I39" s="67"/>
      <c r="J39" s="68">
        <v>2352</v>
      </c>
      <c r="K39" s="69"/>
      <c r="L39" s="70">
        <f>J39*12</f>
        <v>28224</v>
      </c>
      <c r="M39" s="32">
        <v>0.06</v>
      </c>
      <c r="N39" s="37">
        <v>0.12</v>
      </c>
      <c r="O39" s="71"/>
      <c r="P39" s="72">
        <v>11.8949</v>
      </c>
      <c r="Q39" s="36">
        <f t="shared" si="24"/>
        <v>0</v>
      </c>
      <c r="R39" s="57">
        <v>0.16</v>
      </c>
      <c r="S39" s="73"/>
      <c r="T39" s="72">
        <v>4.1494</v>
      </c>
      <c r="U39" s="40" t="s">
        <v>26</v>
      </c>
    </row>
    <row r="40" spans="1:21" ht="12.75">
      <c r="A40" s="41">
        <f t="shared" si="16"/>
        <v>2003</v>
      </c>
      <c r="B40" s="42">
        <f t="shared" si="17"/>
        <v>45</v>
      </c>
      <c r="C40" s="43">
        <f t="shared" si="18"/>
        <v>29</v>
      </c>
      <c r="D40" s="65"/>
      <c r="E40" s="66"/>
      <c r="F40" s="53">
        <v>1.199</v>
      </c>
      <c r="G40" s="60">
        <f t="shared" si="20"/>
        <v>0</v>
      </c>
      <c r="H40" s="27">
        <f t="shared" si="0"/>
        <v>0</v>
      </c>
      <c r="I40" s="67"/>
      <c r="J40" s="68">
        <v>2432</v>
      </c>
      <c r="K40" s="69"/>
      <c r="L40" s="70">
        <f aca="true" t="shared" si="26" ref="L40:L82">J40*12</f>
        <v>29184</v>
      </c>
      <c r="M40" s="32">
        <v>0.06</v>
      </c>
      <c r="N40" s="37">
        <v>0.12</v>
      </c>
      <c r="O40" s="71"/>
      <c r="P40" s="72">
        <v>12.0852</v>
      </c>
      <c r="Q40" s="36">
        <f t="shared" si="24"/>
        <v>0</v>
      </c>
      <c r="R40" s="57">
        <v>0.16</v>
      </c>
      <c r="S40" s="73"/>
      <c r="T40" s="72">
        <v>4.2158</v>
      </c>
      <c r="U40" s="40" t="s">
        <v>26</v>
      </c>
    </row>
    <row r="41" spans="1:21" ht="12.75">
      <c r="A41" s="41">
        <f t="shared" si="16"/>
        <v>2004</v>
      </c>
      <c r="B41" s="42">
        <f t="shared" si="17"/>
        <v>46</v>
      </c>
      <c r="C41" s="43">
        <f t="shared" si="18"/>
        <v>30</v>
      </c>
      <c r="D41" s="65"/>
      <c r="E41" s="66"/>
      <c r="F41" s="53">
        <v>1.18</v>
      </c>
      <c r="G41" s="60">
        <f t="shared" si="20"/>
        <v>0</v>
      </c>
      <c r="H41" s="27">
        <f t="shared" si="0"/>
        <v>0</v>
      </c>
      <c r="I41" s="67"/>
      <c r="J41" s="68">
        <v>2476</v>
      </c>
      <c r="K41" s="69"/>
      <c r="L41" s="70">
        <f t="shared" si="26"/>
        <v>29712</v>
      </c>
      <c r="M41" s="32">
        <v>0.06</v>
      </c>
      <c r="N41" s="37">
        <v>0.14</v>
      </c>
      <c r="O41" s="71"/>
      <c r="P41" s="72">
        <v>12.3632</v>
      </c>
      <c r="Q41" s="36">
        <f t="shared" si="24"/>
        <v>0</v>
      </c>
      <c r="R41" s="57">
        <v>0.16</v>
      </c>
      <c r="S41" s="73"/>
      <c r="T41" s="72">
        <v>4.3128</v>
      </c>
      <c r="U41" s="40" t="s">
        <v>26</v>
      </c>
    </row>
    <row r="42" spans="1:21" ht="12.75">
      <c r="A42" s="41">
        <f t="shared" si="16"/>
        <v>2005</v>
      </c>
      <c r="B42" s="42">
        <f t="shared" si="17"/>
        <v>47</v>
      </c>
      <c r="C42" s="43">
        <f t="shared" si="18"/>
        <v>31</v>
      </c>
      <c r="D42" s="65"/>
      <c r="E42" s="66"/>
      <c r="F42" s="53">
        <v>1.16</v>
      </c>
      <c r="G42" s="60">
        <f t="shared" si="20"/>
        <v>0</v>
      </c>
      <c r="H42" s="27">
        <f t="shared" si="0"/>
        <v>0</v>
      </c>
      <c r="I42" s="67"/>
      <c r="J42" s="68">
        <v>2516</v>
      </c>
      <c r="K42" s="69"/>
      <c r="L42" s="70">
        <f t="shared" si="26"/>
        <v>30192</v>
      </c>
      <c r="M42" s="32">
        <v>0.06</v>
      </c>
      <c r="N42" s="37">
        <v>0.16</v>
      </c>
      <c r="O42" s="71"/>
      <c r="P42" s="72">
        <v>12.66</v>
      </c>
      <c r="Q42" s="36">
        <f t="shared" si="24"/>
        <v>0</v>
      </c>
      <c r="R42" s="57">
        <v>0.16</v>
      </c>
      <c r="S42" s="73"/>
      <c r="T42" s="72">
        <v>4.4163</v>
      </c>
      <c r="U42" s="40" t="s">
        <v>26</v>
      </c>
    </row>
    <row r="43" spans="1:21" ht="12.75">
      <c r="A43" s="41">
        <f t="shared" si="16"/>
        <v>2006</v>
      </c>
      <c r="B43" s="42">
        <f t="shared" si="17"/>
        <v>48</v>
      </c>
      <c r="C43" s="43">
        <f t="shared" si="18"/>
        <v>32</v>
      </c>
      <c r="D43" s="65"/>
      <c r="E43" s="66"/>
      <c r="F43" s="53">
        <v>1.139</v>
      </c>
      <c r="G43" s="60">
        <f t="shared" si="20"/>
        <v>0</v>
      </c>
      <c r="H43" s="27">
        <f t="shared" si="0"/>
        <v>0</v>
      </c>
      <c r="I43" s="67"/>
      <c r="J43" s="68">
        <v>2589</v>
      </c>
      <c r="K43" s="69"/>
      <c r="L43" s="70">
        <f t="shared" si="26"/>
        <v>31068</v>
      </c>
      <c r="M43" s="32">
        <v>0.06</v>
      </c>
      <c r="N43" s="37">
        <v>0.16</v>
      </c>
      <c r="O43" s="71"/>
      <c r="P43" s="72">
        <v>13.0271</v>
      </c>
      <c r="Q43" s="36">
        <f t="shared" si="24"/>
        <v>0</v>
      </c>
      <c r="R43" s="57">
        <v>0.16240000000000002</v>
      </c>
      <c r="S43" s="73"/>
      <c r="T43" s="72">
        <v>4.5444</v>
      </c>
      <c r="U43" s="40" t="s">
        <v>26</v>
      </c>
    </row>
    <row r="44" spans="1:21" ht="12.75">
      <c r="A44" s="41">
        <f t="shared" si="16"/>
        <v>2007</v>
      </c>
      <c r="B44" s="42">
        <f t="shared" si="17"/>
        <v>49</v>
      </c>
      <c r="C44" s="43">
        <f t="shared" si="18"/>
        <v>33</v>
      </c>
      <c r="D44" s="65"/>
      <c r="E44" s="66"/>
      <c r="F44" s="53">
        <v>1.12</v>
      </c>
      <c r="G44" s="60">
        <f t="shared" si="20"/>
        <v>0</v>
      </c>
      <c r="H44" s="27">
        <f t="shared" si="0"/>
        <v>0</v>
      </c>
      <c r="I44" s="67"/>
      <c r="J44" s="68">
        <v>2682</v>
      </c>
      <c r="K44" s="69"/>
      <c r="L44" s="70">
        <f t="shared" si="26"/>
        <v>32184</v>
      </c>
      <c r="M44" s="32">
        <v>0.06</v>
      </c>
      <c r="N44" s="37">
        <v>0.16</v>
      </c>
      <c r="O44" s="71"/>
      <c r="P44" s="72">
        <v>13.5091</v>
      </c>
      <c r="Q44" s="36">
        <f t="shared" si="24"/>
        <v>0</v>
      </c>
      <c r="R44" s="57">
        <v>0.16240000000000002</v>
      </c>
      <c r="S44" s="73"/>
      <c r="T44" s="72">
        <v>4.7125</v>
      </c>
      <c r="U44" s="40" t="s">
        <v>26</v>
      </c>
    </row>
    <row r="45" spans="1:21" ht="12.75">
      <c r="A45" s="41">
        <f t="shared" si="16"/>
        <v>2008</v>
      </c>
      <c r="B45" s="42">
        <f t="shared" si="17"/>
        <v>50</v>
      </c>
      <c r="C45" s="43">
        <f t="shared" si="18"/>
        <v>34</v>
      </c>
      <c r="D45" s="65"/>
      <c r="E45" s="66"/>
      <c r="F45" s="53">
        <v>1.108</v>
      </c>
      <c r="G45" s="60">
        <f t="shared" si="20"/>
        <v>0</v>
      </c>
      <c r="H45" s="27">
        <f t="shared" si="0"/>
        <v>0</v>
      </c>
      <c r="I45" s="67"/>
      <c r="J45" s="68">
        <v>2773</v>
      </c>
      <c r="K45" s="69"/>
      <c r="L45" s="70">
        <f t="shared" si="26"/>
        <v>33276</v>
      </c>
      <c r="M45" s="32">
        <v>0.06</v>
      </c>
      <c r="N45" s="37">
        <v>0.16</v>
      </c>
      <c r="O45" s="71"/>
      <c r="P45" s="72">
        <v>13.9684</v>
      </c>
      <c r="Q45" s="36">
        <f t="shared" si="24"/>
        <v>0</v>
      </c>
      <c r="R45" s="57">
        <v>0.16240000000000002</v>
      </c>
      <c r="S45" s="73"/>
      <c r="T45" s="72">
        <v>4.8727</v>
      </c>
      <c r="U45" s="40" t="s">
        <v>26</v>
      </c>
    </row>
    <row r="46" spans="1:21" ht="12.75">
      <c r="A46" s="41">
        <f t="shared" si="16"/>
        <v>2009</v>
      </c>
      <c r="B46" s="42">
        <f t="shared" si="17"/>
        <v>51</v>
      </c>
      <c r="C46" s="43">
        <f t="shared" si="18"/>
        <v>35</v>
      </c>
      <c r="D46" s="65"/>
      <c r="E46" s="66"/>
      <c r="F46" s="53">
        <v>1.099</v>
      </c>
      <c r="G46" s="60">
        <f t="shared" si="20"/>
        <v>0</v>
      </c>
      <c r="H46" s="27">
        <f t="shared" si="0"/>
        <v>0</v>
      </c>
      <c r="I46" s="67"/>
      <c r="J46" s="68">
        <v>2859</v>
      </c>
      <c r="K46" s="69"/>
      <c r="L46" s="70">
        <f t="shared" si="26"/>
        <v>34308</v>
      </c>
      <c r="M46" s="32">
        <v>0.06</v>
      </c>
      <c r="N46" s="37">
        <v>0.16</v>
      </c>
      <c r="O46" s="71"/>
      <c r="P46" s="72">
        <v>14.2198</v>
      </c>
      <c r="Q46" s="36">
        <f t="shared" si="24"/>
        <v>0</v>
      </c>
      <c r="R46" s="57">
        <v>0.16240000000000002</v>
      </c>
      <c r="S46" s="73"/>
      <c r="T46" s="72">
        <v>4.9604</v>
      </c>
      <c r="U46" s="40" t="s">
        <v>26</v>
      </c>
    </row>
    <row r="47" spans="1:21" ht="12.75">
      <c r="A47" s="41">
        <f t="shared" si="16"/>
        <v>2010</v>
      </c>
      <c r="B47" s="42">
        <f t="shared" si="17"/>
        <v>52</v>
      </c>
      <c r="C47" s="43">
        <f t="shared" si="18"/>
        <v>36</v>
      </c>
      <c r="D47" s="65"/>
      <c r="E47" s="66"/>
      <c r="F47" s="53">
        <v>1.089</v>
      </c>
      <c r="G47" s="60">
        <f t="shared" si="20"/>
        <v>0</v>
      </c>
      <c r="H47" s="27">
        <f t="shared" si="0"/>
        <v>0</v>
      </c>
      <c r="I47" s="67"/>
      <c r="J47" s="68">
        <v>2885</v>
      </c>
      <c r="K47" s="69"/>
      <c r="L47" s="70">
        <f t="shared" si="26"/>
        <v>34620</v>
      </c>
      <c r="M47" s="32">
        <v>0.06</v>
      </c>
      <c r="N47" s="37">
        <v>0.16</v>
      </c>
      <c r="O47" s="71"/>
      <c r="P47" s="72">
        <v>14.4047</v>
      </c>
      <c r="Q47" s="36">
        <f t="shared" si="24"/>
        <v>0</v>
      </c>
      <c r="R47" s="57">
        <v>0.16240000000000002</v>
      </c>
      <c r="S47" s="73"/>
      <c r="T47" s="72">
        <v>5.0249</v>
      </c>
      <c r="U47" s="40" t="s">
        <v>26</v>
      </c>
    </row>
    <row r="48" spans="1:21" ht="12.75">
      <c r="A48" s="41">
        <f t="shared" si="16"/>
        <v>2011</v>
      </c>
      <c r="B48" s="42">
        <f t="shared" si="17"/>
        <v>53</v>
      </c>
      <c r="C48" s="43">
        <f t="shared" si="18"/>
        <v>37</v>
      </c>
      <c r="D48" s="65"/>
      <c r="E48" s="66"/>
      <c r="F48" s="53">
        <v>1.079</v>
      </c>
      <c r="G48" s="60">
        <f t="shared" si="20"/>
        <v>0</v>
      </c>
      <c r="H48" s="27">
        <f t="shared" si="0"/>
        <v>0</v>
      </c>
      <c r="I48" s="67"/>
      <c r="J48" s="68">
        <v>2946</v>
      </c>
      <c r="K48" s="69"/>
      <c r="L48" s="70">
        <f t="shared" si="26"/>
        <v>35352</v>
      </c>
      <c r="M48" s="32">
        <v>0.06</v>
      </c>
      <c r="N48" s="37">
        <v>0.16</v>
      </c>
      <c r="O48" s="71"/>
      <c r="P48" s="72">
        <v>14.7216</v>
      </c>
      <c r="Q48" s="36">
        <f t="shared" si="24"/>
        <v>0</v>
      </c>
      <c r="R48" s="57">
        <v>0.16240000000000002</v>
      </c>
      <c r="S48" s="73"/>
      <c r="T48" s="72">
        <v>5.1354</v>
      </c>
      <c r="U48" s="40" t="s">
        <v>26</v>
      </c>
    </row>
    <row r="49" spans="1:21" ht="12.75">
      <c r="A49" s="41">
        <f t="shared" si="16"/>
        <v>2012</v>
      </c>
      <c r="B49" s="42">
        <f t="shared" si="17"/>
        <v>54</v>
      </c>
      <c r="C49" s="43">
        <f t="shared" si="18"/>
        <v>38</v>
      </c>
      <c r="D49" s="65"/>
      <c r="E49" s="66"/>
      <c r="F49" s="53">
        <v>1.058</v>
      </c>
      <c r="G49" s="60">
        <f t="shared" si="20"/>
        <v>0</v>
      </c>
      <c r="H49" s="27">
        <f t="shared" si="0"/>
        <v>0</v>
      </c>
      <c r="I49" s="67"/>
      <c r="J49" s="68">
        <v>3031</v>
      </c>
      <c r="K49" s="69"/>
      <c r="L49" s="70">
        <f t="shared" si="26"/>
        <v>36372</v>
      </c>
      <c r="M49" s="32">
        <v>0.06</v>
      </c>
      <c r="N49" s="37">
        <v>0.16</v>
      </c>
      <c r="O49" s="71"/>
      <c r="P49" s="72">
        <v>15.0528</v>
      </c>
      <c r="Q49" s="36">
        <f t="shared" si="24"/>
        <v>0</v>
      </c>
      <c r="R49" s="57">
        <v>0.16240000000000002</v>
      </c>
      <c r="S49" s="73"/>
      <c r="T49" s="72">
        <v>5.2509</v>
      </c>
      <c r="U49" s="40" t="s">
        <v>26</v>
      </c>
    </row>
    <row r="50" spans="1:21" ht="12.75">
      <c r="A50" s="41">
        <f t="shared" si="16"/>
        <v>2013</v>
      </c>
      <c r="B50" s="42">
        <f t="shared" si="17"/>
        <v>55</v>
      </c>
      <c r="C50" s="43">
        <f t="shared" si="18"/>
        <v>39</v>
      </c>
      <c r="D50" s="65"/>
      <c r="E50" s="66"/>
      <c r="F50" s="53">
        <v>1.037</v>
      </c>
      <c r="G50" s="60">
        <f t="shared" si="20"/>
        <v>0</v>
      </c>
      <c r="H50" s="27">
        <f t="shared" si="0"/>
        <v>0</v>
      </c>
      <c r="I50" s="67"/>
      <c r="J50" s="68">
        <v>3086</v>
      </c>
      <c r="K50" s="69"/>
      <c r="L50" s="70">
        <f t="shared" si="26"/>
        <v>37032</v>
      </c>
      <c r="M50" s="32">
        <v>0.06</v>
      </c>
      <c r="N50" s="37">
        <v>0.16</v>
      </c>
      <c r="O50" s="71"/>
      <c r="P50" s="72">
        <v>15.2284</v>
      </c>
      <c r="Q50" s="36">
        <f t="shared" si="24"/>
        <v>0</v>
      </c>
      <c r="R50" s="57">
        <v>0.16240000000000002</v>
      </c>
      <c r="S50" s="73"/>
      <c r="T50" s="72">
        <v>5.3006</v>
      </c>
      <c r="U50" s="40" t="s">
        <v>26</v>
      </c>
    </row>
    <row r="51" spans="1:21" ht="12.75">
      <c r="A51" s="41">
        <f t="shared" si="16"/>
        <v>2014</v>
      </c>
      <c r="B51" s="42">
        <f t="shared" si="17"/>
        <v>56</v>
      </c>
      <c r="C51" s="43">
        <f t="shared" si="18"/>
        <v>40</v>
      </c>
      <c r="D51" s="65"/>
      <c r="E51" s="66"/>
      <c r="F51" s="53">
        <v>1.024</v>
      </c>
      <c r="G51" s="60">
        <f t="shared" si="20"/>
        <v>0</v>
      </c>
      <c r="H51" s="27">
        <f t="shared" si="0"/>
        <v>0</v>
      </c>
      <c r="I51" s="67"/>
      <c r="J51" s="68">
        <v>3129</v>
      </c>
      <c r="K51" s="69"/>
      <c r="L51" s="70">
        <f t="shared" si="26"/>
        <v>37548</v>
      </c>
      <c r="M51" s="32">
        <v>0.061</v>
      </c>
      <c r="N51" s="37">
        <v>0.161</v>
      </c>
      <c r="O51" s="71"/>
      <c r="P51" s="72">
        <v>15.2589</v>
      </c>
      <c r="Q51" s="36">
        <f t="shared" si="24"/>
        <v>0</v>
      </c>
      <c r="R51" s="57">
        <v>0.16340000000000002</v>
      </c>
      <c r="S51" s="73"/>
      <c r="T51" s="72">
        <v>5.3075</v>
      </c>
      <c r="U51" s="40" t="s">
        <v>26</v>
      </c>
    </row>
    <row r="52" spans="1:21" ht="12.75">
      <c r="A52" s="41">
        <f t="shared" si="16"/>
        <v>2015</v>
      </c>
      <c r="B52" s="42">
        <f t="shared" si="17"/>
        <v>57</v>
      </c>
      <c r="C52" s="43">
        <f t="shared" si="18"/>
        <v>41</v>
      </c>
      <c r="D52" s="65"/>
      <c r="E52" s="66"/>
      <c r="F52" s="53">
        <v>1.024</v>
      </c>
      <c r="G52" s="60">
        <f t="shared" si="20"/>
        <v>0</v>
      </c>
      <c r="H52" s="27">
        <f t="shared" si="0"/>
        <v>0</v>
      </c>
      <c r="I52" s="67"/>
      <c r="J52" s="68">
        <v>3170</v>
      </c>
      <c r="K52" s="69"/>
      <c r="L52" s="70">
        <f t="shared" si="26"/>
        <v>38040</v>
      </c>
      <c r="M52" s="32">
        <v>0.062000000000000006</v>
      </c>
      <c r="N52" s="37">
        <v>0.162</v>
      </c>
      <c r="O52" s="71"/>
      <c r="P52" s="72">
        <v>15.2589</v>
      </c>
      <c r="Q52" s="36">
        <f t="shared" si="24"/>
        <v>0</v>
      </c>
      <c r="R52" s="57">
        <v>0.16440000000000002</v>
      </c>
      <c r="S52" s="73"/>
      <c r="T52" s="72">
        <v>5.3075</v>
      </c>
      <c r="U52" s="40" t="s">
        <v>26</v>
      </c>
    </row>
    <row r="53" spans="1:21" ht="15" customHeight="1">
      <c r="A53" s="41">
        <f t="shared" si="16"/>
        <v>2016</v>
      </c>
      <c r="B53" s="42">
        <f t="shared" si="17"/>
        <v>58</v>
      </c>
      <c r="C53" s="43">
        <f t="shared" si="18"/>
        <v>42</v>
      </c>
      <c r="D53" s="65"/>
      <c r="E53" s="66"/>
      <c r="F53" s="53">
        <v>1.023</v>
      </c>
      <c r="G53" s="60">
        <f t="shared" si="20"/>
        <v>0</v>
      </c>
      <c r="H53" s="27">
        <f t="shared" si="0"/>
        <v>0</v>
      </c>
      <c r="I53" s="67"/>
      <c r="J53" s="68">
        <v>3218</v>
      </c>
      <c r="K53" s="69"/>
      <c r="L53" s="70">
        <f t="shared" si="26"/>
        <v>38616</v>
      </c>
      <c r="M53" s="32">
        <v>0.062000000000000006</v>
      </c>
      <c r="N53" s="37">
        <v>0.162</v>
      </c>
      <c r="O53" s="71"/>
      <c r="P53" s="72">
        <v>15.6556</v>
      </c>
      <c r="Q53" s="36">
        <f t="shared" si="24"/>
        <v>0</v>
      </c>
      <c r="R53" s="57">
        <v>0.16440000000000002</v>
      </c>
      <c r="S53" s="73"/>
      <c r="T53" s="72">
        <v>5.4455</v>
      </c>
      <c r="U53" s="40" t="s">
        <v>26</v>
      </c>
    </row>
    <row r="54" spans="1:21" ht="12.75">
      <c r="A54" s="41">
        <f t="shared" si="16"/>
        <v>2017</v>
      </c>
      <c r="B54" s="42">
        <f t="shared" si="17"/>
        <v>59</v>
      </c>
      <c r="C54" s="43">
        <f t="shared" si="18"/>
        <v>43</v>
      </c>
      <c r="D54" s="65"/>
      <c r="E54" s="66"/>
      <c r="F54" s="53">
        <v>1.023</v>
      </c>
      <c r="G54" s="60">
        <f t="shared" si="20"/>
        <v>0</v>
      </c>
      <c r="H54" s="27">
        <f t="shared" si="0"/>
        <v>0</v>
      </c>
      <c r="I54" s="67"/>
      <c r="J54" s="68">
        <v>3269</v>
      </c>
      <c r="K54" s="69"/>
      <c r="L54" s="70">
        <f t="shared" si="26"/>
        <v>39228</v>
      </c>
      <c r="M54" s="32">
        <v>0.062000000000000006</v>
      </c>
      <c r="N54" s="37">
        <v>0.162</v>
      </c>
      <c r="O54" s="71"/>
      <c r="P54" s="72">
        <v>16.1879</v>
      </c>
      <c r="Q54" s="36">
        <f t="shared" si="24"/>
        <v>0</v>
      </c>
      <c r="R54" s="57">
        <v>0.16440000000000002</v>
      </c>
      <c r="S54" s="73"/>
      <c r="T54" s="72">
        <v>5.6306</v>
      </c>
      <c r="U54" s="40" t="s">
        <v>26</v>
      </c>
    </row>
    <row r="55" spans="1:21" ht="16.5" customHeight="1">
      <c r="A55" s="41">
        <f t="shared" si="16"/>
        <v>2018</v>
      </c>
      <c r="B55" s="42">
        <f t="shared" si="17"/>
        <v>60</v>
      </c>
      <c r="C55" s="43">
        <f t="shared" si="18"/>
        <v>44</v>
      </c>
      <c r="D55" s="65"/>
      <c r="E55" s="66"/>
      <c r="F55" s="53">
        <v>1.015</v>
      </c>
      <c r="G55" s="60">
        <f t="shared" si="20"/>
        <v>0</v>
      </c>
      <c r="H55" s="27">
        <f t="shared" si="0"/>
        <v>0</v>
      </c>
      <c r="I55" s="67"/>
      <c r="J55" s="68">
        <v>3311</v>
      </c>
      <c r="K55" s="69"/>
      <c r="L55" s="70">
        <f t="shared" si="26"/>
        <v>39732</v>
      </c>
      <c r="M55" s="32">
        <v>0.062000000000000006</v>
      </c>
      <c r="N55" s="37">
        <v>0.162</v>
      </c>
      <c r="O55" s="71"/>
      <c r="P55" s="72">
        <v>16.7226</v>
      </c>
      <c r="Q55" s="36">
        <f t="shared" si="24"/>
        <v>0</v>
      </c>
      <c r="R55" s="57">
        <v>0.16440000000000002</v>
      </c>
      <c r="S55" s="73"/>
      <c r="T55" s="72">
        <v>5.8166</v>
      </c>
      <c r="U55" s="40" t="s">
        <v>26</v>
      </c>
    </row>
    <row r="56" spans="1:21" ht="12.75">
      <c r="A56" s="41">
        <f t="shared" si="16"/>
        <v>2019</v>
      </c>
      <c r="B56" s="42">
        <f t="shared" si="17"/>
        <v>61</v>
      </c>
      <c r="C56" s="43">
        <f t="shared" si="18"/>
        <v>45</v>
      </c>
      <c r="D56" s="74"/>
      <c r="E56" s="66"/>
      <c r="F56" s="75">
        <v>1</v>
      </c>
      <c r="G56" s="60">
        <f t="shared" si="20"/>
        <v>0</v>
      </c>
      <c r="H56" s="27">
        <f t="shared" si="0"/>
        <v>0</v>
      </c>
      <c r="I56" s="76"/>
      <c r="J56" s="77">
        <v>3377</v>
      </c>
      <c r="K56" s="78"/>
      <c r="L56" s="79">
        <f t="shared" si="26"/>
        <v>40524</v>
      </c>
      <c r="M56" s="32">
        <v>0.062000000000000006</v>
      </c>
      <c r="N56" s="37">
        <v>0.17</v>
      </c>
      <c r="O56" s="71"/>
      <c r="P56" s="72">
        <v>17.0571</v>
      </c>
      <c r="Q56" s="36">
        <f>IF(E56&lt;L56,E56*M56/P56,IF(E56&lt;(8*L56),((L56*M56)+(E56-L56)*N56)/P56,((L56*M56)+(7*L56*N56))/P56))</f>
        <v>0</v>
      </c>
      <c r="R56" s="57">
        <v>0.17</v>
      </c>
      <c r="S56" s="73"/>
      <c r="T56" s="72">
        <v>17.0571</v>
      </c>
      <c r="U56" s="40" t="s">
        <v>26</v>
      </c>
    </row>
    <row r="57" spans="1:21" ht="12.75">
      <c r="A57" s="41">
        <f t="shared" si="16"/>
        <v>2020</v>
      </c>
      <c r="B57" s="42">
        <f t="shared" si="17"/>
        <v>62</v>
      </c>
      <c r="C57" s="43">
        <f t="shared" si="18"/>
        <v>46</v>
      </c>
      <c r="D57" s="74"/>
      <c r="E57" s="66"/>
      <c r="F57" s="75">
        <v>1</v>
      </c>
      <c r="G57" s="54">
        <f t="shared" si="20"/>
        <v>0</v>
      </c>
      <c r="H57" s="80">
        <f t="shared" si="0"/>
        <v>0</v>
      </c>
      <c r="I57" s="67"/>
      <c r="J57" s="68">
        <v>3428</v>
      </c>
      <c r="K57" s="69"/>
      <c r="L57" s="70">
        <f t="shared" si="26"/>
        <v>41136</v>
      </c>
      <c r="M57" s="81">
        <v>0.062000000000000006</v>
      </c>
      <c r="N57" s="37">
        <v>0.17</v>
      </c>
      <c r="O57" s="82"/>
      <c r="P57" s="72">
        <v>17.3982</v>
      </c>
      <c r="Q57" s="36">
        <f aca="true" t="shared" si="27" ref="Q57:Q58">IF(E57&lt;L57,E57*M57/P57,IF(E57&lt;(8*L57),((L57*M57)+(E57-L57)*N57)/P57,((L57*M57)+(7*L57*N57))/P57))</f>
        <v>0</v>
      </c>
      <c r="R57" s="83">
        <v>0.17</v>
      </c>
      <c r="S57" s="84"/>
      <c r="T57" s="72">
        <v>17.3982</v>
      </c>
      <c r="U57" s="40" t="s">
        <v>26</v>
      </c>
    </row>
    <row r="58" spans="1:21" ht="12.75">
      <c r="A58" s="41">
        <f t="shared" si="16"/>
        <v>2021</v>
      </c>
      <c r="B58" s="42">
        <f t="shared" si="17"/>
        <v>63</v>
      </c>
      <c r="C58" s="43">
        <f t="shared" si="18"/>
        <v>47</v>
      </c>
      <c r="D58" s="74"/>
      <c r="E58" s="66"/>
      <c r="F58" s="75">
        <v>1</v>
      </c>
      <c r="G58" s="54">
        <f t="shared" si="20"/>
        <v>0</v>
      </c>
      <c r="H58" s="27">
        <f t="shared" si="0"/>
        <v>0</v>
      </c>
      <c r="I58" s="85"/>
      <c r="J58" s="86">
        <f>+J57*1.015</f>
        <v>3479.4199999999996</v>
      </c>
      <c r="K58" s="87"/>
      <c r="L58" s="88">
        <f t="shared" si="26"/>
        <v>41753.03999999999</v>
      </c>
      <c r="M58" s="81">
        <v>0.062000000000000006</v>
      </c>
      <c r="N58" s="37">
        <v>0.17</v>
      </c>
      <c r="O58" s="82"/>
      <c r="P58" s="72">
        <v>17.3982</v>
      </c>
      <c r="Q58" s="36">
        <f t="shared" si="27"/>
        <v>0</v>
      </c>
      <c r="R58" s="57">
        <v>0.17</v>
      </c>
      <c r="S58" s="73"/>
      <c r="T58" s="72">
        <v>17.3982</v>
      </c>
      <c r="U58" s="40" t="s">
        <v>26</v>
      </c>
    </row>
    <row r="59" spans="1:21" ht="12.75">
      <c r="A59" s="41">
        <f aca="true" t="shared" si="28" ref="A59:A75">A58+1</f>
        <v>2022</v>
      </c>
      <c r="B59" s="42">
        <f aca="true" t="shared" si="29" ref="B59:B75">B58+1</f>
        <v>64</v>
      </c>
      <c r="C59" s="43">
        <f aca="true" t="shared" si="30" ref="C59:C75">C58+1</f>
        <v>48</v>
      </c>
      <c r="D59" s="89"/>
      <c r="E59" s="66"/>
      <c r="F59" s="75">
        <v>1</v>
      </c>
      <c r="G59" s="54">
        <f aca="true" t="shared" si="31" ref="G59:G82">E59*F59</f>
        <v>0</v>
      </c>
      <c r="H59" s="27">
        <f aca="true" t="shared" si="32" ref="H59:H82">E59/12</f>
        <v>0</v>
      </c>
      <c r="I59" s="90"/>
      <c r="J59" s="86">
        <f aca="true" t="shared" si="33" ref="J59:J81">+J58*1.015</f>
        <v>3531.611299999999</v>
      </c>
      <c r="K59" s="91"/>
      <c r="L59" s="88">
        <f t="shared" si="26"/>
        <v>42379.33559999999</v>
      </c>
      <c r="M59" s="81">
        <v>0.062000000000000006</v>
      </c>
      <c r="N59" s="37">
        <v>0.17</v>
      </c>
      <c r="O59" s="82"/>
      <c r="P59" s="72">
        <v>17.3982</v>
      </c>
      <c r="Q59" s="36">
        <f aca="true" t="shared" si="34" ref="Q59:Q82">IF(E59&lt;L59,E59*M59/P59,IF(E59&lt;(8*L59),((L59*M59)+(E59-L59)*N59)/P59,((L59*M59)+(7*L59*N59))/P59))</f>
        <v>0</v>
      </c>
      <c r="R59" s="57">
        <v>0.17</v>
      </c>
      <c r="S59" s="73"/>
      <c r="T59" s="72">
        <v>17.3982</v>
      </c>
      <c r="U59" s="40" t="s">
        <v>26</v>
      </c>
    </row>
    <row r="60" spans="1:21" ht="12.75">
      <c r="A60" s="41">
        <f t="shared" si="28"/>
        <v>2023</v>
      </c>
      <c r="B60" s="42">
        <f t="shared" si="29"/>
        <v>65</v>
      </c>
      <c r="C60" s="43">
        <f t="shared" si="30"/>
        <v>49</v>
      </c>
      <c r="D60" s="89"/>
      <c r="E60" s="66"/>
      <c r="F60" s="75">
        <v>1</v>
      </c>
      <c r="G60" s="54">
        <f t="shared" si="31"/>
        <v>0</v>
      </c>
      <c r="H60" s="27">
        <f t="shared" si="32"/>
        <v>0</v>
      </c>
      <c r="I60" s="90"/>
      <c r="J60" s="86">
        <f t="shared" si="33"/>
        <v>3584.585469499999</v>
      </c>
      <c r="K60" s="91"/>
      <c r="L60" s="88">
        <f t="shared" si="26"/>
        <v>43015.02563399999</v>
      </c>
      <c r="M60" s="81">
        <v>0.062000000000000006</v>
      </c>
      <c r="N60" s="37">
        <v>0.17</v>
      </c>
      <c r="O60" s="82"/>
      <c r="P60" s="72">
        <v>17.3982</v>
      </c>
      <c r="Q60" s="36">
        <f t="shared" si="34"/>
        <v>0</v>
      </c>
      <c r="R60" s="57">
        <v>0.17</v>
      </c>
      <c r="S60" s="73"/>
      <c r="T60" s="72">
        <v>17.3982</v>
      </c>
      <c r="U60" s="40" t="s">
        <v>26</v>
      </c>
    </row>
    <row r="61" spans="1:21" ht="12.75">
      <c r="A61" s="41">
        <f t="shared" si="28"/>
        <v>2024</v>
      </c>
      <c r="B61" s="42">
        <f t="shared" si="29"/>
        <v>66</v>
      </c>
      <c r="C61" s="43">
        <f t="shared" si="30"/>
        <v>50</v>
      </c>
      <c r="D61" s="89"/>
      <c r="E61" s="66"/>
      <c r="F61" s="75">
        <v>1</v>
      </c>
      <c r="G61" s="54">
        <f t="shared" si="31"/>
        <v>0</v>
      </c>
      <c r="H61" s="27">
        <f t="shared" si="32"/>
        <v>0</v>
      </c>
      <c r="I61" s="90"/>
      <c r="J61" s="86">
        <f t="shared" si="33"/>
        <v>3638.3542515424983</v>
      </c>
      <c r="K61" s="91"/>
      <c r="L61" s="88">
        <f t="shared" si="26"/>
        <v>43660.25101850998</v>
      </c>
      <c r="M61" s="81">
        <v>0.062000000000000006</v>
      </c>
      <c r="N61" s="37">
        <v>0.17</v>
      </c>
      <c r="O61" s="82"/>
      <c r="P61" s="72">
        <v>17.3982</v>
      </c>
      <c r="Q61" s="36">
        <f t="shared" si="34"/>
        <v>0</v>
      </c>
      <c r="R61" s="57">
        <v>0.17</v>
      </c>
      <c r="S61" s="73"/>
      <c r="T61" s="72">
        <v>17.3982</v>
      </c>
      <c r="U61" s="40" t="s">
        <v>26</v>
      </c>
    </row>
    <row r="62" spans="1:21" ht="12.75">
      <c r="A62" s="41">
        <f t="shared" si="28"/>
        <v>2025</v>
      </c>
      <c r="B62" s="42">
        <f t="shared" si="29"/>
        <v>67</v>
      </c>
      <c r="C62" s="43">
        <f t="shared" si="30"/>
        <v>51</v>
      </c>
      <c r="D62" s="89"/>
      <c r="E62" s="66"/>
      <c r="F62" s="75">
        <v>1</v>
      </c>
      <c r="G62" s="54">
        <f t="shared" si="31"/>
        <v>0</v>
      </c>
      <c r="H62" s="27">
        <f t="shared" si="32"/>
        <v>0</v>
      </c>
      <c r="I62" s="90"/>
      <c r="J62" s="86">
        <f t="shared" si="33"/>
        <v>3692.9295653156355</v>
      </c>
      <c r="K62" s="91"/>
      <c r="L62" s="88">
        <f t="shared" si="26"/>
        <v>44315.15478378763</v>
      </c>
      <c r="M62" s="81">
        <v>0.062000000000000006</v>
      </c>
      <c r="N62" s="37">
        <v>0.17</v>
      </c>
      <c r="O62" s="82"/>
      <c r="P62" s="72">
        <v>17.3982</v>
      </c>
      <c r="Q62" s="36">
        <f t="shared" si="34"/>
        <v>0</v>
      </c>
      <c r="R62" s="57">
        <v>0.17</v>
      </c>
      <c r="S62" s="73"/>
      <c r="T62" s="72">
        <v>17.3982</v>
      </c>
      <c r="U62" s="40" t="s">
        <v>26</v>
      </c>
    </row>
    <row r="63" spans="1:21" ht="12.75">
      <c r="A63" s="41">
        <f t="shared" si="28"/>
        <v>2026</v>
      </c>
      <c r="B63" s="42">
        <f t="shared" si="29"/>
        <v>68</v>
      </c>
      <c r="C63" s="43">
        <f t="shared" si="30"/>
        <v>52</v>
      </c>
      <c r="D63" s="89"/>
      <c r="E63" s="66"/>
      <c r="F63" s="75">
        <v>1</v>
      </c>
      <c r="G63" s="54">
        <f t="shared" si="31"/>
        <v>0</v>
      </c>
      <c r="H63" s="27">
        <f t="shared" si="32"/>
        <v>0</v>
      </c>
      <c r="I63" s="90"/>
      <c r="J63" s="86">
        <f t="shared" si="33"/>
        <v>3748.32350879537</v>
      </c>
      <c r="K63" s="91"/>
      <c r="L63" s="88">
        <f t="shared" si="26"/>
        <v>44979.88210554444</v>
      </c>
      <c r="M63" s="81">
        <v>0.062000000000000006</v>
      </c>
      <c r="N63" s="37">
        <v>0.17</v>
      </c>
      <c r="O63" s="82"/>
      <c r="P63" s="72">
        <v>17.3982</v>
      </c>
      <c r="Q63" s="36">
        <f t="shared" si="34"/>
        <v>0</v>
      </c>
      <c r="R63" s="57">
        <v>0.17</v>
      </c>
      <c r="S63" s="73"/>
      <c r="T63" s="72">
        <v>17.3982</v>
      </c>
      <c r="U63" s="40" t="s">
        <v>26</v>
      </c>
    </row>
    <row r="64" spans="1:21" ht="12.75">
      <c r="A64" s="41">
        <f t="shared" si="28"/>
        <v>2027</v>
      </c>
      <c r="B64" s="42">
        <f t="shared" si="29"/>
        <v>69</v>
      </c>
      <c r="C64" s="43">
        <f t="shared" si="30"/>
        <v>53</v>
      </c>
      <c r="D64" s="89"/>
      <c r="E64" s="66"/>
      <c r="F64" s="75">
        <v>1</v>
      </c>
      <c r="G64" s="54">
        <f t="shared" si="31"/>
        <v>0</v>
      </c>
      <c r="H64" s="27">
        <f t="shared" si="32"/>
        <v>0</v>
      </c>
      <c r="I64" s="90"/>
      <c r="J64" s="86">
        <f t="shared" si="33"/>
        <v>3804.5483614273003</v>
      </c>
      <c r="K64" s="91"/>
      <c r="L64" s="88">
        <f t="shared" si="26"/>
        <v>45654.580337127605</v>
      </c>
      <c r="M64" s="81">
        <v>0.062000000000000006</v>
      </c>
      <c r="N64" s="37">
        <v>0.17</v>
      </c>
      <c r="O64" s="82"/>
      <c r="P64" s="72">
        <v>17.3982</v>
      </c>
      <c r="Q64" s="36">
        <f t="shared" si="34"/>
        <v>0</v>
      </c>
      <c r="R64" s="57">
        <v>0.17</v>
      </c>
      <c r="S64" s="73"/>
      <c r="T64" s="72">
        <v>17.3982</v>
      </c>
      <c r="U64" s="40" t="s">
        <v>26</v>
      </c>
    </row>
    <row r="65" spans="1:21" ht="12.75">
      <c r="A65" s="41">
        <f t="shared" si="28"/>
        <v>2028</v>
      </c>
      <c r="B65" s="42">
        <f t="shared" si="29"/>
        <v>70</v>
      </c>
      <c r="C65" s="43">
        <f t="shared" si="30"/>
        <v>54</v>
      </c>
      <c r="D65" s="89"/>
      <c r="E65" s="66"/>
      <c r="F65" s="75">
        <v>1</v>
      </c>
      <c r="G65" s="54">
        <f t="shared" si="31"/>
        <v>0</v>
      </c>
      <c r="H65" s="27">
        <f t="shared" si="32"/>
        <v>0</v>
      </c>
      <c r="I65" s="90"/>
      <c r="J65" s="86">
        <f t="shared" si="33"/>
        <v>3861.6165868487096</v>
      </c>
      <c r="K65" s="91"/>
      <c r="L65" s="88">
        <f t="shared" si="26"/>
        <v>46339.399042184516</v>
      </c>
      <c r="M65" s="81">
        <v>0.062000000000000006</v>
      </c>
      <c r="N65" s="37">
        <v>0.17</v>
      </c>
      <c r="O65" s="82"/>
      <c r="P65" s="72">
        <v>17.3982</v>
      </c>
      <c r="Q65" s="36">
        <f t="shared" si="34"/>
        <v>0</v>
      </c>
      <c r="R65" s="57">
        <v>0.17</v>
      </c>
      <c r="S65" s="73"/>
      <c r="T65" s="72">
        <v>17.3982</v>
      </c>
      <c r="U65" s="40" t="s">
        <v>26</v>
      </c>
    </row>
    <row r="66" spans="1:21" ht="12.75">
      <c r="A66" s="41">
        <f t="shared" si="28"/>
        <v>2029</v>
      </c>
      <c r="B66" s="42">
        <f t="shared" si="29"/>
        <v>71</v>
      </c>
      <c r="C66" s="43">
        <f t="shared" si="30"/>
        <v>55</v>
      </c>
      <c r="D66" s="89"/>
      <c r="E66" s="66"/>
      <c r="F66" s="75">
        <v>1</v>
      </c>
      <c r="G66" s="54">
        <f t="shared" si="31"/>
        <v>0</v>
      </c>
      <c r="H66" s="27">
        <f t="shared" si="32"/>
        <v>0</v>
      </c>
      <c r="I66" s="90"/>
      <c r="J66" s="86">
        <f>+J65*1.015</f>
        <v>3919.54083565144</v>
      </c>
      <c r="K66" s="91"/>
      <c r="L66" s="88">
        <f t="shared" si="26"/>
        <v>47034.49002781728</v>
      </c>
      <c r="M66" s="81">
        <v>0.062000000000000006</v>
      </c>
      <c r="N66" s="37">
        <v>0.17</v>
      </c>
      <c r="O66" s="82"/>
      <c r="P66" s="72">
        <v>17.3982</v>
      </c>
      <c r="Q66" s="36">
        <f t="shared" si="34"/>
        <v>0</v>
      </c>
      <c r="R66" s="57">
        <v>0.17</v>
      </c>
      <c r="S66" s="73"/>
      <c r="T66" s="72">
        <v>17.3982</v>
      </c>
      <c r="U66" s="40" t="s">
        <v>26</v>
      </c>
    </row>
    <row r="67" spans="1:21" ht="12.75">
      <c r="A67" s="41">
        <f t="shared" si="28"/>
        <v>2030</v>
      </c>
      <c r="B67" s="42">
        <f t="shared" si="29"/>
        <v>72</v>
      </c>
      <c r="C67" s="43">
        <f t="shared" si="30"/>
        <v>56</v>
      </c>
      <c r="D67" s="89"/>
      <c r="E67" s="66"/>
      <c r="F67" s="75">
        <v>1</v>
      </c>
      <c r="G67" s="54">
        <f t="shared" si="31"/>
        <v>0</v>
      </c>
      <c r="H67" s="27">
        <f t="shared" si="32"/>
        <v>0</v>
      </c>
      <c r="I67" s="90"/>
      <c r="J67" s="86">
        <f t="shared" si="33"/>
        <v>3978.3339481862113</v>
      </c>
      <c r="K67" s="91"/>
      <c r="L67" s="88">
        <f t="shared" si="26"/>
        <v>47740.007378234535</v>
      </c>
      <c r="M67" s="81">
        <v>0.062000000000000006</v>
      </c>
      <c r="N67" s="37">
        <v>0.17</v>
      </c>
      <c r="O67" s="82"/>
      <c r="P67" s="72">
        <v>17.3982</v>
      </c>
      <c r="Q67" s="36">
        <f t="shared" si="34"/>
        <v>0</v>
      </c>
      <c r="R67" s="57">
        <v>0.17</v>
      </c>
      <c r="S67" s="73"/>
      <c r="T67" s="72">
        <v>17.3982</v>
      </c>
      <c r="U67" s="40" t="s">
        <v>26</v>
      </c>
    </row>
    <row r="68" spans="1:21" ht="12.75">
      <c r="A68" s="41">
        <f t="shared" si="28"/>
        <v>2031</v>
      </c>
      <c r="B68" s="42">
        <f t="shared" si="29"/>
        <v>73</v>
      </c>
      <c r="C68" s="43">
        <f t="shared" si="30"/>
        <v>57</v>
      </c>
      <c r="D68" s="89"/>
      <c r="E68" s="66"/>
      <c r="F68" s="75">
        <v>1</v>
      </c>
      <c r="G68" s="54">
        <f t="shared" si="31"/>
        <v>0</v>
      </c>
      <c r="H68" s="27">
        <f t="shared" si="32"/>
        <v>0</v>
      </c>
      <c r="I68" s="90"/>
      <c r="J68" s="86">
        <f t="shared" si="33"/>
        <v>4038.008957409004</v>
      </c>
      <c r="K68" s="91"/>
      <c r="L68" s="88">
        <f t="shared" si="26"/>
        <v>48456.10748890805</v>
      </c>
      <c r="M68" s="81">
        <v>0.062000000000000006</v>
      </c>
      <c r="N68" s="37">
        <v>0.17</v>
      </c>
      <c r="O68" s="82"/>
      <c r="P68" s="72">
        <v>17.3982</v>
      </c>
      <c r="Q68" s="36">
        <f t="shared" si="34"/>
        <v>0</v>
      </c>
      <c r="R68" s="57">
        <v>0.17</v>
      </c>
      <c r="S68" s="73"/>
      <c r="T68" s="72">
        <v>17.3982</v>
      </c>
      <c r="U68" s="40" t="s">
        <v>26</v>
      </c>
    </row>
    <row r="69" spans="1:21" ht="12.75">
      <c r="A69" s="41">
        <f t="shared" si="28"/>
        <v>2032</v>
      </c>
      <c r="B69" s="42">
        <f t="shared" si="29"/>
        <v>74</v>
      </c>
      <c r="C69" s="43">
        <f t="shared" si="30"/>
        <v>58</v>
      </c>
      <c r="D69" s="89"/>
      <c r="E69" s="66"/>
      <c r="F69" s="75">
        <v>1</v>
      </c>
      <c r="G69" s="54">
        <f t="shared" si="31"/>
        <v>0</v>
      </c>
      <c r="H69" s="27">
        <f t="shared" si="32"/>
        <v>0</v>
      </c>
      <c r="I69" s="90"/>
      <c r="J69" s="86">
        <f t="shared" si="33"/>
        <v>4098.579091770139</v>
      </c>
      <c r="K69" s="91"/>
      <c r="L69" s="88">
        <f t="shared" si="26"/>
        <v>49182.94910124167</v>
      </c>
      <c r="M69" s="81">
        <v>0.062000000000000006</v>
      </c>
      <c r="N69" s="37">
        <v>0.17</v>
      </c>
      <c r="O69" s="82"/>
      <c r="P69" s="72">
        <v>17.3982</v>
      </c>
      <c r="Q69" s="36">
        <f t="shared" si="34"/>
        <v>0</v>
      </c>
      <c r="R69" s="57">
        <v>0.17</v>
      </c>
      <c r="S69" s="73"/>
      <c r="T69" s="72">
        <v>17.3982</v>
      </c>
      <c r="U69" s="40" t="s">
        <v>26</v>
      </c>
    </row>
    <row r="70" spans="1:21" ht="12.75">
      <c r="A70" s="41">
        <f t="shared" si="28"/>
        <v>2033</v>
      </c>
      <c r="B70" s="42">
        <f t="shared" si="29"/>
        <v>75</v>
      </c>
      <c r="C70" s="43">
        <f t="shared" si="30"/>
        <v>59</v>
      </c>
      <c r="D70" s="89"/>
      <c r="E70" s="66"/>
      <c r="F70" s="75">
        <v>1</v>
      </c>
      <c r="G70" s="54">
        <f t="shared" si="31"/>
        <v>0</v>
      </c>
      <c r="H70" s="27">
        <f t="shared" si="32"/>
        <v>0</v>
      </c>
      <c r="I70" s="90"/>
      <c r="J70" s="86">
        <f t="shared" si="33"/>
        <v>4160.057778146691</v>
      </c>
      <c r="K70" s="91"/>
      <c r="L70" s="88">
        <f t="shared" si="26"/>
        <v>49920.69333776029</v>
      </c>
      <c r="M70" s="81">
        <v>0.062000000000000006</v>
      </c>
      <c r="N70" s="37">
        <v>0.17</v>
      </c>
      <c r="O70" s="82"/>
      <c r="P70" s="72">
        <v>17.3982</v>
      </c>
      <c r="Q70" s="36">
        <f t="shared" si="34"/>
        <v>0</v>
      </c>
      <c r="R70" s="57">
        <v>0.17</v>
      </c>
      <c r="S70" s="73"/>
      <c r="T70" s="72">
        <v>17.3982</v>
      </c>
      <c r="U70" s="40" t="s">
        <v>26</v>
      </c>
    </row>
    <row r="71" spans="1:21" ht="12.75">
      <c r="A71" s="41">
        <f t="shared" si="28"/>
        <v>2034</v>
      </c>
      <c r="B71" s="42">
        <f t="shared" si="29"/>
        <v>76</v>
      </c>
      <c r="C71" s="43">
        <f t="shared" si="30"/>
        <v>60</v>
      </c>
      <c r="D71" s="89"/>
      <c r="E71" s="66"/>
      <c r="F71" s="75">
        <v>1</v>
      </c>
      <c r="G71" s="54">
        <f t="shared" si="31"/>
        <v>0</v>
      </c>
      <c r="H71" s="27">
        <f t="shared" si="32"/>
        <v>0</v>
      </c>
      <c r="I71" s="90"/>
      <c r="J71" s="86">
        <f t="shared" si="33"/>
        <v>4222.458644818891</v>
      </c>
      <c r="K71" s="91"/>
      <c r="L71" s="88">
        <f t="shared" si="26"/>
        <v>50669.50373782669</v>
      </c>
      <c r="M71" s="81">
        <v>0.062000000000000006</v>
      </c>
      <c r="N71" s="37">
        <v>0.17</v>
      </c>
      <c r="O71" s="82"/>
      <c r="P71" s="72">
        <v>17.3982</v>
      </c>
      <c r="Q71" s="36">
        <f t="shared" si="34"/>
        <v>0</v>
      </c>
      <c r="R71" s="57">
        <v>0.17</v>
      </c>
      <c r="S71" s="73"/>
      <c r="T71" s="72">
        <v>17.3982</v>
      </c>
      <c r="U71" s="40" t="s">
        <v>26</v>
      </c>
    </row>
    <row r="72" spans="1:21" ht="12.75">
      <c r="A72" s="41">
        <f t="shared" si="28"/>
        <v>2035</v>
      </c>
      <c r="B72" s="42">
        <f t="shared" si="29"/>
        <v>77</v>
      </c>
      <c r="C72" s="43">
        <f t="shared" si="30"/>
        <v>61</v>
      </c>
      <c r="D72" s="89"/>
      <c r="E72" s="66"/>
      <c r="F72" s="75">
        <v>1</v>
      </c>
      <c r="G72" s="54">
        <f t="shared" si="31"/>
        <v>0</v>
      </c>
      <c r="H72" s="27">
        <f t="shared" si="32"/>
        <v>0</v>
      </c>
      <c r="I72" s="90"/>
      <c r="J72" s="86">
        <f t="shared" si="33"/>
        <v>4285.795524491174</v>
      </c>
      <c r="K72" s="91"/>
      <c r="L72" s="88">
        <f t="shared" si="26"/>
        <v>51429.546293894084</v>
      </c>
      <c r="M72" s="81">
        <v>0.062000000000000006</v>
      </c>
      <c r="N72" s="37">
        <v>0.17</v>
      </c>
      <c r="O72" s="82"/>
      <c r="P72" s="72">
        <v>17.3982</v>
      </c>
      <c r="Q72" s="36">
        <f t="shared" si="34"/>
        <v>0</v>
      </c>
      <c r="R72" s="57">
        <v>0.17</v>
      </c>
      <c r="S72" s="73"/>
      <c r="T72" s="72">
        <v>17.3982</v>
      </c>
      <c r="U72" s="40" t="s">
        <v>26</v>
      </c>
    </row>
    <row r="73" spans="1:21" ht="12.75">
      <c r="A73" s="41">
        <f t="shared" si="28"/>
        <v>2036</v>
      </c>
      <c r="B73" s="42">
        <f t="shared" si="29"/>
        <v>78</v>
      </c>
      <c r="C73" s="43">
        <f t="shared" si="30"/>
        <v>62</v>
      </c>
      <c r="D73" s="89"/>
      <c r="E73" s="66"/>
      <c r="F73" s="75">
        <v>1</v>
      </c>
      <c r="G73" s="54">
        <f t="shared" si="31"/>
        <v>0</v>
      </c>
      <c r="H73" s="27">
        <f t="shared" si="32"/>
        <v>0</v>
      </c>
      <c r="I73" s="90"/>
      <c r="J73" s="86">
        <f t="shared" si="33"/>
        <v>4350.0824573585405</v>
      </c>
      <c r="K73" s="91"/>
      <c r="L73" s="88">
        <f t="shared" si="26"/>
        <v>52200.98948830248</v>
      </c>
      <c r="M73" s="81">
        <v>0.062000000000000006</v>
      </c>
      <c r="N73" s="37">
        <v>0.17</v>
      </c>
      <c r="O73" s="82"/>
      <c r="P73" s="72">
        <v>17.3982</v>
      </c>
      <c r="Q73" s="36">
        <f t="shared" si="34"/>
        <v>0</v>
      </c>
      <c r="R73" s="57">
        <v>0.17</v>
      </c>
      <c r="S73" s="73"/>
      <c r="T73" s="72">
        <v>17.3982</v>
      </c>
      <c r="U73" s="40" t="s">
        <v>26</v>
      </c>
    </row>
    <row r="74" spans="1:21" ht="12.75">
      <c r="A74" s="41">
        <f t="shared" si="28"/>
        <v>2037</v>
      </c>
      <c r="B74" s="42">
        <f t="shared" si="29"/>
        <v>79</v>
      </c>
      <c r="C74" s="43">
        <f t="shared" si="30"/>
        <v>63</v>
      </c>
      <c r="D74" s="89"/>
      <c r="E74" s="66"/>
      <c r="F74" s="75">
        <v>1</v>
      </c>
      <c r="G74" s="54">
        <f t="shared" si="31"/>
        <v>0</v>
      </c>
      <c r="H74" s="27">
        <f t="shared" si="32"/>
        <v>0</v>
      </c>
      <c r="I74" s="90"/>
      <c r="J74" s="86">
        <f t="shared" si="33"/>
        <v>4415.333694218918</v>
      </c>
      <c r="K74" s="91"/>
      <c r="L74" s="88">
        <f t="shared" si="26"/>
        <v>52984.004330627016</v>
      </c>
      <c r="M74" s="81">
        <v>0.062000000000000006</v>
      </c>
      <c r="N74" s="37">
        <v>0.17</v>
      </c>
      <c r="O74" s="82"/>
      <c r="P74" s="72">
        <v>17.3982</v>
      </c>
      <c r="Q74" s="36">
        <f t="shared" si="34"/>
        <v>0</v>
      </c>
      <c r="R74" s="57">
        <v>0.17</v>
      </c>
      <c r="S74" s="73"/>
      <c r="T74" s="72">
        <v>17.3982</v>
      </c>
      <c r="U74" s="40" t="s">
        <v>26</v>
      </c>
    </row>
    <row r="75" spans="1:21" ht="12.75">
      <c r="A75" s="41">
        <f t="shared" si="28"/>
        <v>2038</v>
      </c>
      <c r="B75" s="42">
        <f t="shared" si="29"/>
        <v>80</v>
      </c>
      <c r="C75" s="43">
        <f t="shared" si="30"/>
        <v>64</v>
      </c>
      <c r="D75" s="89"/>
      <c r="E75" s="66"/>
      <c r="F75" s="75">
        <v>1</v>
      </c>
      <c r="G75" s="54">
        <f t="shared" si="31"/>
        <v>0</v>
      </c>
      <c r="H75" s="27">
        <f t="shared" si="32"/>
        <v>0</v>
      </c>
      <c r="I75" s="90"/>
      <c r="J75" s="86">
        <f t="shared" si="33"/>
        <v>4481.563699632201</v>
      </c>
      <c r="K75" s="91"/>
      <c r="L75" s="88">
        <f t="shared" si="26"/>
        <v>53778.76439558641</v>
      </c>
      <c r="M75" s="81">
        <v>0.062000000000000006</v>
      </c>
      <c r="N75" s="37">
        <v>0.17</v>
      </c>
      <c r="O75" s="82"/>
      <c r="P75" s="72">
        <v>17.3982</v>
      </c>
      <c r="Q75" s="36">
        <f t="shared" si="34"/>
        <v>0</v>
      </c>
      <c r="R75" s="57">
        <v>0.17</v>
      </c>
      <c r="S75" s="73"/>
      <c r="T75" s="72">
        <v>17.3982</v>
      </c>
      <c r="U75" s="40" t="s">
        <v>26</v>
      </c>
    </row>
    <row r="76" spans="1:21" ht="12.75">
      <c r="A76" s="41">
        <f aca="true" t="shared" si="35" ref="A76:A81">A75+1</f>
        <v>2039</v>
      </c>
      <c r="B76" s="42">
        <f aca="true" t="shared" si="36" ref="B76:B81">B75+1</f>
        <v>81</v>
      </c>
      <c r="C76" s="43">
        <f aca="true" t="shared" si="37" ref="C76:C81">C75+1</f>
        <v>65</v>
      </c>
      <c r="D76" s="89"/>
      <c r="E76" s="66"/>
      <c r="F76" s="75">
        <v>1</v>
      </c>
      <c r="G76" s="54">
        <f t="shared" si="31"/>
        <v>0</v>
      </c>
      <c r="H76" s="27">
        <f t="shared" si="32"/>
        <v>0</v>
      </c>
      <c r="I76" s="90"/>
      <c r="J76" s="86">
        <f t="shared" si="33"/>
        <v>4548.7871551266835</v>
      </c>
      <c r="K76" s="91"/>
      <c r="L76" s="88">
        <f t="shared" si="26"/>
        <v>54585.4458615202</v>
      </c>
      <c r="M76" s="81">
        <v>0.062000000000000006</v>
      </c>
      <c r="N76" s="37">
        <v>0.17</v>
      </c>
      <c r="O76" s="82"/>
      <c r="P76" s="72">
        <v>17.3982</v>
      </c>
      <c r="Q76" s="36">
        <f t="shared" si="34"/>
        <v>0</v>
      </c>
      <c r="R76" s="57">
        <v>0.17</v>
      </c>
      <c r="S76" s="73"/>
      <c r="T76" s="72">
        <v>17.3982</v>
      </c>
      <c r="U76" s="40" t="s">
        <v>26</v>
      </c>
    </row>
    <row r="77" spans="1:21" ht="12.75">
      <c r="A77" s="41">
        <f t="shared" si="35"/>
        <v>2040</v>
      </c>
      <c r="B77" s="42">
        <f t="shared" si="36"/>
        <v>82</v>
      </c>
      <c r="C77" s="43">
        <f t="shared" si="37"/>
        <v>66</v>
      </c>
      <c r="D77" s="89"/>
      <c r="E77" s="66"/>
      <c r="F77" s="75">
        <v>1</v>
      </c>
      <c r="G77" s="54">
        <f t="shared" si="31"/>
        <v>0</v>
      </c>
      <c r="H77" s="27">
        <f t="shared" si="32"/>
        <v>0</v>
      </c>
      <c r="I77" s="90"/>
      <c r="J77" s="86">
        <f t="shared" si="33"/>
        <v>4617.018962453583</v>
      </c>
      <c r="K77" s="91"/>
      <c r="L77" s="88">
        <f t="shared" si="26"/>
        <v>55404.227549443</v>
      </c>
      <c r="M77" s="81">
        <v>0.062000000000000006</v>
      </c>
      <c r="N77" s="37">
        <v>0.17</v>
      </c>
      <c r="O77" s="82"/>
      <c r="P77" s="72">
        <v>17.3982</v>
      </c>
      <c r="Q77" s="36">
        <f t="shared" si="34"/>
        <v>0</v>
      </c>
      <c r="R77" s="57">
        <v>0.17</v>
      </c>
      <c r="S77" s="73"/>
      <c r="T77" s="72">
        <v>17.3982</v>
      </c>
      <c r="U77" s="40" t="s">
        <v>26</v>
      </c>
    </row>
    <row r="78" spans="1:21" ht="12.75">
      <c r="A78" s="41">
        <f t="shared" si="35"/>
        <v>2041</v>
      </c>
      <c r="B78" s="42">
        <f t="shared" si="36"/>
        <v>83</v>
      </c>
      <c r="C78" s="43">
        <f t="shared" si="37"/>
        <v>67</v>
      </c>
      <c r="D78" s="89"/>
      <c r="E78" s="66"/>
      <c r="F78" s="75">
        <v>1</v>
      </c>
      <c r="G78" s="54">
        <f t="shared" si="31"/>
        <v>0</v>
      </c>
      <c r="H78" s="27">
        <f t="shared" si="32"/>
        <v>0</v>
      </c>
      <c r="I78" s="90"/>
      <c r="J78" s="86">
        <f t="shared" si="33"/>
        <v>4686.274246890386</v>
      </c>
      <c r="K78" s="91"/>
      <c r="L78" s="88">
        <f t="shared" si="26"/>
        <v>56235.29096268464</v>
      </c>
      <c r="M78" s="81">
        <v>0.062000000000000006</v>
      </c>
      <c r="N78" s="37">
        <v>0.17</v>
      </c>
      <c r="O78" s="82"/>
      <c r="P78" s="72">
        <v>17.3982</v>
      </c>
      <c r="Q78" s="36">
        <f t="shared" si="34"/>
        <v>0</v>
      </c>
      <c r="R78" s="57">
        <v>0.17</v>
      </c>
      <c r="S78" s="73"/>
      <c r="T78" s="72">
        <v>17.3982</v>
      </c>
      <c r="U78" s="40" t="s">
        <v>26</v>
      </c>
    </row>
    <row r="79" spans="1:21" ht="12.75">
      <c r="A79" s="41">
        <f t="shared" si="35"/>
        <v>2042</v>
      </c>
      <c r="B79" s="42">
        <f t="shared" si="36"/>
        <v>84</v>
      </c>
      <c r="C79" s="43">
        <f t="shared" si="37"/>
        <v>68</v>
      </c>
      <c r="D79" s="89"/>
      <c r="E79" s="66"/>
      <c r="F79" s="75">
        <v>1</v>
      </c>
      <c r="G79" s="54">
        <f t="shared" si="31"/>
        <v>0</v>
      </c>
      <c r="H79" s="27">
        <f t="shared" si="32"/>
        <v>0</v>
      </c>
      <c r="I79" s="90"/>
      <c r="J79" s="86">
        <f t="shared" si="33"/>
        <v>4756.568360593741</v>
      </c>
      <c r="K79" s="91"/>
      <c r="L79" s="88">
        <f t="shared" si="26"/>
        <v>57078.82032712489</v>
      </c>
      <c r="M79" s="81">
        <v>0.062000000000000006</v>
      </c>
      <c r="N79" s="37">
        <v>0.17</v>
      </c>
      <c r="O79" s="82"/>
      <c r="P79" s="72">
        <v>17.3982</v>
      </c>
      <c r="Q79" s="36">
        <f t="shared" si="34"/>
        <v>0</v>
      </c>
      <c r="R79" s="57">
        <v>0.17</v>
      </c>
      <c r="S79" s="73"/>
      <c r="T79" s="72">
        <v>17.3982</v>
      </c>
      <c r="U79" s="40" t="s">
        <v>26</v>
      </c>
    </row>
    <row r="80" spans="1:21" ht="12.75">
      <c r="A80" s="41">
        <f t="shared" si="35"/>
        <v>2043</v>
      </c>
      <c r="B80" s="42">
        <f t="shared" si="36"/>
        <v>85</v>
      </c>
      <c r="C80" s="43">
        <f t="shared" si="37"/>
        <v>69</v>
      </c>
      <c r="D80" s="89"/>
      <c r="E80" s="66"/>
      <c r="F80" s="75">
        <v>1</v>
      </c>
      <c r="G80" s="54">
        <f t="shared" si="31"/>
        <v>0</v>
      </c>
      <c r="H80" s="27">
        <f t="shared" si="32"/>
        <v>0</v>
      </c>
      <c r="I80" s="90"/>
      <c r="J80" s="86">
        <f t="shared" si="33"/>
        <v>4827.916886002647</v>
      </c>
      <c r="K80" s="91"/>
      <c r="L80" s="88">
        <f t="shared" si="26"/>
        <v>57935.002632031756</v>
      </c>
      <c r="M80" s="81">
        <v>0.062000000000000006</v>
      </c>
      <c r="N80" s="37">
        <v>0.17</v>
      </c>
      <c r="O80" s="82"/>
      <c r="P80" s="72">
        <v>17.3982</v>
      </c>
      <c r="Q80" s="36">
        <f t="shared" si="34"/>
        <v>0</v>
      </c>
      <c r="R80" s="57">
        <v>0.17</v>
      </c>
      <c r="S80" s="73"/>
      <c r="T80" s="72">
        <v>17.3982</v>
      </c>
      <c r="U80" s="40" t="s">
        <v>26</v>
      </c>
    </row>
    <row r="81" spans="1:21" ht="12.75">
      <c r="A81" s="41">
        <f t="shared" si="35"/>
        <v>2044</v>
      </c>
      <c r="B81" s="42">
        <f t="shared" si="36"/>
        <v>86</v>
      </c>
      <c r="C81" s="43">
        <f t="shared" si="37"/>
        <v>70</v>
      </c>
      <c r="D81" s="89"/>
      <c r="E81" s="66"/>
      <c r="F81" s="75">
        <v>1</v>
      </c>
      <c r="G81" s="54">
        <f t="shared" si="31"/>
        <v>0</v>
      </c>
      <c r="H81" s="27">
        <f t="shared" si="32"/>
        <v>0</v>
      </c>
      <c r="I81" s="90"/>
      <c r="J81" s="86">
        <f t="shared" si="33"/>
        <v>4900.335639292686</v>
      </c>
      <c r="K81" s="91"/>
      <c r="L81" s="88">
        <f t="shared" si="26"/>
        <v>58804.02767151223</v>
      </c>
      <c r="M81" s="81">
        <v>0.062000000000000006</v>
      </c>
      <c r="N81" s="37">
        <v>0.17</v>
      </c>
      <c r="O81" s="82"/>
      <c r="P81" s="72">
        <v>17.3982</v>
      </c>
      <c r="Q81" s="36">
        <f t="shared" si="34"/>
        <v>0</v>
      </c>
      <c r="R81" s="57">
        <v>0.17</v>
      </c>
      <c r="S81" s="73"/>
      <c r="T81" s="72">
        <v>17.3982</v>
      </c>
      <c r="U81" s="40" t="s">
        <v>26</v>
      </c>
    </row>
    <row r="82" spans="1:21" ht="12.75">
      <c r="A82" s="41">
        <f>A81+1</f>
        <v>2045</v>
      </c>
      <c r="B82" s="42">
        <f>B81+1</f>
        <v>87</v>
      </c>
      <c r="C82" s="43">
        <f>C81+1</f>
        <v>71</v>
      </c>
      <c r="D82" s="92"/>
      <c r="E82" s="93"/>
      <c r="F82" s="75">
        <v>1</v>
      </c>
      <c r="G82" s="54">
        <f t="shared" si="31"/>
        <v>0</v>
      </c>
      <c r="H82" s="27">
        <f t="shared" si="32"/>
        <v>0</v>
      </c>
      <c r="I82" s="94"/>
      <c r="J82" s="86">
        <f>+J81*1.015</f>
        <v>4973.840673882076</v>
      </c>
      <c r="K82" s="95"/>
      <c r="L82" s="88">
        <f t="shared" si="26"/>
        <v>59686.08808658491</v>
      </c>
      <c r="M82" s="96">
        <v>0.062000000000000006</v>
      </c>
      <c r="N82" s="97">
        <v>0.17</v>
      </c>
      <c r="O82" s="98"/>
      <c r="P82" s="99">
        <v>17.3982</v>
      </c>
      <c r="Q82" s="100">
        <f t="shared" si="34"/>
        <v>0</v>
      </c>
      <c r="R82" s="101">
        <v>0.17</v>
      </c>
      <c r="S82" s="102"/>
      <c r="T82" s="99">
        <v>17.3982</v>
      </c>
      <c r="U82" s="103" t="s">
        <v>26</v>
      </c>
    </row>
    <row r="83" spans="1:21" ht="15.75" customHeight="1">
      <c r="A83" s="7" t="s">
        <v>27</v>
      </c>
      <c r="B83" s="7"/>
      <c r="C83" s="7"/>
      <c r="D83" s="7"/>
      <c r="E83" s="104">
        <f>SUM(E7:E56)</f>
        <v>0</v>
      </c>
      <c r="F83" s="105"/>
      <c r="G83" s="106">
        <f>SUM(G7:G56)</f>
        <v>0</v>
      </c>
      <c r="H83" s="11" t="s">
        <v>28</v>
      </c>
      <c r="I83" s="11"/>
      <c r="J83" s="11"/>
      <c r="K83" s="11"/>
      <c r="L83" s="11"/>
      <c r="M83" s="107"/>
      <c r="N83" s="108"/>
      <c r="O83" s="108"/>
      <c r="P83" s="109"/>
      <c r="Q83" s="110">
        <f>SUM(Q7:Q82)</f>
        <v>0</v>
      </c>
      <c r="R83" s="108"/>
      <c r="S83" s="108"/>
      <c r="T83" s="109"/>
      <c r="U83" s="110">
        <f>SUM(U7:U82)</f>
        <v>0</v>
      </c>
    </row>
    <row r="84" spans="1:21" ht="15.75" customHeight="1">
      <c r="A84" s="7" t="s">
        <v>29</v>
      </c>
      <c r="B84" s="7"/>
      <c r="C84" s="7"/>
      <c r="D84" s="7"/>
      <c r="E84" s="104">
        <f>E83/C56/12</f>
        <v>0</v>
      </c>
      <c r="F84" s="111"/>
      <c r="G84" s="112">
        <f>G83/C56/12</f>
        <v>0</v>
      </c>
      <c r="H84" s="11"/>
      <c r="I84" s="11"/>
      <c r="J84" s="11"/>
      <c r="K84" s="11"/>
      <c r="L84" s="11"/>
      <c r="M84" s="113">
        <f>Q83+(U83*0.347791548)</f>
        <v>0</v>
      </c>
      <c r="N84" s="113"/>
      <c r="O84" s="113"/>
      <c r="P84" s="113"/>
      <c r="Q84" s="113"/>
      <c r="R84" s="113"/>
      <c r="S84" s="113"/>
      <c r="T84" s="113"/>
      <c r="U84" s="113"/>
    </row>
    <row r="85" spans="1:23" ht="15.75" customHeight="1">
      <c r="A85" s="7" t="s">
        <v>30</v>
      </c>
      <c r="B85" s="7"/>
      <c r="C85" s="7"/>
      <c r="D85" s="7"/>
      <c r="E85" s="114">
        <f>SUM(E32:E56)/25/12</f>
        <v>0</v>
      </c>
      <c r="F85" s="111"/>
      <c r="G85" s="115">
        <f>SUM(G32:G56)/25/12</f>
        <v>0</v>
      </c>
      <c r="H85" s="116" t="s">
        <v>31</v>
      </c>
      <c r="I85" s="117"/>
      <c r="J85" s="117"/>
      <c r="K85" s="117"/>
      <c r="L85" s="117"/>
      <c r="M85" s="117"/>
      <c r="S85" s="118"/>
      <c r="T85" s="118"/>
      <c r="U85" s="118"/>
      <c r="V85" s="118"/>
      <c r="W85" s="118"/>
    </row>
    <row r="86" spans="1:23" ht="15.75" customHeight="1">
      <c r="A86" s="7" t="s">
        <v>32</v>
      </c>
      <c r="B86" s="7"/>
      <c r="C86" s="7"/>
      <c r="D86" s="7"/>
      <c r="E86" s="7"/>
      <c r="F86" s="7"/>
      <c r="G86" s="119" t="e">
        <f>G85/G84-1</f>
        <v>#DIV/0!</v>
      </c>
      <c r="H86" s="120"/>
      <c r="I86" s="120"/>
      <c r="J86" s="120"/>
      <c r="K86" s="120"/>
      <c r="L86" s="120"/>
      <c r="P86" s="11" t="s">
        <v>33</v>
      </c>
      <c r="Q86" s="121" t="s">
        <v>34</v>
      </c>
      <c r="R86" s="122" t="s">
        <v>35</v>
      </c>
      <c r="S86" s="123"/>
      <c r="T86" s="123"/>
      <c r="U86" s="124"/>
      <c r="V86" s="118"/>
      <c r="W86" s="118"/>
    </row>
    <row r="87" spans="1:23" ht="15.75" customHeight="1">
      <c r="A87" s="125" t="s">
        <v>36</v>
      </c>
      <c r="B87" s="125"/>
      <c r="C87" s="125"/>
      <c r="D87" s="125"/>
      <c r="E87" s="125"/>
      <c r="F87" s="125"/>
      <c r="G87" s="126" t="e">
        <f>G85/E84-1</f>
        <v>#DIV/0!</v>
      </c>
      <c r="H87" s="120"/>
      <c r="I87" s="120"/>
      <c r="J87" s="120"/>
      <c r="K87" s="120"/>
      <c r="L87" s="120"/>
      <c r="P87" s="11"/>
      <c r="Q87" s="127" t="s">
        <v>37</v>
      </c>
      <c r="R87" s="128" t="s">
        <v>38</v>
      </c>
      <c r="S87" s="129"/>
      <c r="T87" s="129"/>
      <c r="U87" s="130"/>
      <c r="V87" s="118"/>
      <c r="W87" s="118"/>
    </row>
    <row r="88" spans="4:23" ht="15.75" customHeight="1">
      <c r="D88" s="7" t="s">
        <v>39</v>
      </c>
      <c r="E88" s="7"/>
      <c r="F88" s="7"/>
      <c r="G88" s="131">
        <f>SUM(G32:G56)</f>
        <v>0</v>
      </c>
      <c r="H88" s="116" t="s">
        <v>40</v>
      </c>
      <c r="I88" s="117"/>
      <c r="J88" s="117"/>
      <c r="K88" s="117"/>
      <c r="L88" s="117"/>
      <c r="M88" s="117"/>
      <c r="P88" s="11"/>
      <c r="Q88" s="132" t="s">
        <v>41</v>
      </c>
      <c r="R88" s="133" t="s">
        <v>42</v>
      </c>
      <c r="S88" s="134"/>
      <c r="T88" s="134"/>
      <c r="U88" s="135"/>
      <c r="V88" s="118"/>
      <c r="W88" s="118"/>
    </row>
    <row r="89" spans="4:21" ht="15.75" customHeight="1">
      <c r="D89" s="7" t="s">
        <v>43</v>
      </c>
      <c r="E89" s="7"/>
      <c r="F89" s="7"/>
      <c r="G89" s="136">
        <f>G88/25</f>
        <v>0</v>
      </c>
      <c r="P89" s="137" t="s">
        <v>44</v>
      </c>
      <c r="Q89" s="121" t="s">
        <v>34</v>
      </c>
      <c r="R89" s="122" t="s">
        <v>35</v>
      </c>
      <c r="S89" s="123"/>
      <c r="T89" s="123"/>
      <c r="U89" s="124"/>
    </row>
    <row r="90" spans="4:21" ht="15.75" customHeight="1">
      <c r="D90" s="7" t="s">
        <v>45</v>
      </c>
      <c r="E90" s="7"/>
      <c r="F90" s="7"/>
      <c r="G90" s="138">
        <f>IF(G89&lt;L90,G89*0.5,L90*0.5)</f>
        <v>0</v>
      </c>
      <c r="H90" s="139" t="s">
        <v>46</v>
      </c>
      <c r="I90" s="139"/>
      <c r="J90" s="139"/>
      <c r="K90" s="139"/>
      <c r="L90" s="140">
        <f>L56</f>
        <v>40524</v>
      </c>
      <c r="M90" s="141" t="s">
        <v>47</v>
      </c>
      <c r="N90" s="142"/>
      <c r="O90" s="142"/>
      <c r="P90" s="137"/>
      <c r="Q90" s="132" t="s">
        <v>48</v>
      </c>
      <c r="R90" s="133" t="s">
        <v>42</v>
      </c>
      <c r="S90" s="134"/>
      <c r="T90" s="134"/>
      <c r="U90" s="135"/>
    </row>
    <row r="91" spans="4:20" ht="15.75" customHeight="1">
      <c r="D91" s="7" t="s">
        <v>49</v>
      </c>
      <c r="E91" s="7"/>
      <c r="F91" s="7"/>
      <c r="G91" s="143">
        <f>G90/12</f>
        <v>0</v>
      </c>
      <c r="M91" s="118"/>
      <c r="T91" s="118"/>
    </row>
    <row r="92" spans="4:7" ht="15.75" customHeight="1">
      <c r="D92" s="7" t="s">
        <v>50</v>
      </c>
      <c r="E92" s="7"/>
      <c r="F92" s="7"/>
      <c r="G92" s="143">
        <f>G91*1.1</f>
        <v>0</v>
      </c>
    </row>
    <row r="93" spans="4:7" ht="15.75" customHeight="1">
      <c r="D93" s="7" t="s">
        <v>51</v>
      </c>
      <c r="E93" s="7"/>
      <c r="F93" s="7"/>
      <c r="G93" s="144">
        <f>M84</f>
        <v>0</v>
      </c>
    </row>
    <row r="94" ht="15" customHeight="1"/>
    <row r="95" ht="15" customHeight="1"/>
    <row r="96" spans="1:21" s="146" customFormat="1" ht="12.75" customHeight="1">
      <c r="A96" s="145" t="s">
        <v>52</v>
      </c>
      <c r="B96" s="145"/>
      <c r="C96" s="145"/>
      <c r="D96" s="145"/>
      <c r="E96" s="145"/>
      <c r="F96" s="145"/>
      <c r="G96" s="14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7" ht="15" customHeight="1">
      <c r="A97" s="147"/>
      <c r="B97" s="147"/>
      <c r="C97" s="147"/>
      <c r="D97" s="147"/>
      <c r="E97" s="147"/>
      <c r="F97" s="148" t="s">
        <v>53</v>
      </c>
      <c r="G97" s="149" t="s">
        <v>54</v>
      </c>
    </row>
    <row r="98" spans="1:12" ht="15" customHeight="1">
      <c r="A98" s="150" t="s">
        <v>55</v>
      </c>
      <c r="B98" s="150"/>
      <c r="C98" s="150"/>
      <c r="D98" s="150"/>
      <c r="E98" s="150"/>
      <c r="F98" s="151">
        <f>G98*12</f>
        <v>0</v>
      </c>
      <c r="G98" s="152">
        <f>G91</f>
        <v>0</v>
      </c>
      <c r="H98" s="153" t="e">
        <f>G98/G100</f>
        <v>#DIV/0!</v>
      </c>
      <c r="I98" s="154"/>
      <c r="J98" s="154"/>
      <c r="K98" s="154"/>
      <c r="L98" s="154"/>
    </row>
    <row r="99" spans="1:12" ht="15" customHeight="1">
      <c r="A99" s="155" t="s">
        <v>56</v>
      </c>
      <c r="B99" s="155"/>
      <c r="C99" s="155"/>
      <c r="D99" s="155"/>
      <c r="E99" s="155"/>
      <c r="F99" s="156">
        <f>G93*1.2588</f>
        <v>0</v>
      </c>
      <c r="G99" s="157">
        <f>F99/12</f>
        <v>0</v>
      </c>
      <c r="H99" s="158" t="e">
        <f>G99/G100</f>
        <v>#DIV/0!</v>
      </c>
      <c r="I99" s="154"/>
      <c r="J99" s="154"/>
      <c r="K99" s="154"/>
      <c r="L99" s="154"/>
    </row>
    <row r="100" spans="1:12" ht="19.5" customHeight="1">
      <c r="A100" s="159" t="s">
        <v>57</v>
      </c>
      <c r="B100" s="159"/>
      <c r="C100" s="159"/>
      <c r="D100" s="159"/>
      <c r="E100" s="159"/>
      <c r="F100" s="160">
        <f>F98+F99</f>
        <v>0</v>
      </c>
      <c r="G100" s="161">
        <f>G98+G99</f>
        <v>0</v>
      </c>
      <c r="H100" s="162"/>
      <c r="I100" s="162"/>
      <c r="J100" s="162"/>
      <c r="K100" s="162"/>
      <c r="L100" s="162"/>
    </row>
    <row r="101" spans="1:7" ht="15.75" customHeight="1">
      <c r="A101" s="163" t="s">
        <v>58</v>
      </c>
      <c r="B101" s="163"/>
      <c r="C101" s="163"/>
      <c r="D101" s="163"/>
      <c r="E101" s="163"/>
      <c r="F101" s="163"/>
      <c r="G101" s="164" t="e">
        <f>G100/$H$55</f>
        <v>#DIV/0!</v>
      </c>
    </row>
    <row r="102" ht="15" customHeight="1"/>
    <row r="103" ht="15.75" customHeight="1"/>
    <row r="104" spans="1:12" ht="19.5" customHeight="1">
      <c r="A104" s="145" t="s">
        <v>59</v>
      </c>
      <c r="B104" s="145"/>
      <c r="C104" s="145"/>
      <c r="D104" s="145"/>
      <c r="E104" s="145"/>
      <c r="F104" s="145"/>
      <c r="G104" s="145"/>
      <c r="H104" s="145"/>
      <c r="I104" s="165"/>
      <c r="J104" s="165"/>
      <c r="K104" s="165"/>
      <c r="L104" s="165"/>
    </row>
    <row r="105" spans="1:12" ht="30.75" customHeight="1">
      <c r="A105" s="166" t="s">
        <v>60</v>
      </c>
      <c r="B105" s="166"/>
      <c r="C105" s="166"/>
      <c r="D105" s="166"/>
      <c r="E105" s="166"/>
      <c r="F105" s="166"/>
      <c r="G105" s="11" t="s">
        <v>61</v>
      </c>
      <c r="H105" s="167" t="s">
        <v>62</v>
      </c>
      <c r="I105" s="165"/>
      <c r="J105" s="165"/>
      <c r="K105" s="165"/>
      <c r="L105" s="165"/>
    </row>
    <row r="106" spans="1:12" ht="15" customHeight="1">
      <c r="A106" s="168" t="s">
        <v>63</v>
      </c>
      <c r="B106" s="168"/>
      <c r="C106" s="168"/>
      <c r="D106" s="168"/>
      <c r="E106" s="168"/>
      <c r="F106" s="168"/>
      <c r="G106" s="169">
        <f>E83</f>
        <v>0</v>
      </c>
      <c r="H106" s="170">
        <f>E83+E57+E58</f>
        <v>0</v>
      </c>
      <c r="I106" s="165"/>
      <c r="J106" s="165"/>
      <c r="K106" s="165"/>
      <c r="L106" s="165"/>
    </row>
    <row r="107" spans="1:12" ht="15.75" customHeight="1">
      <c r="A107" s="171" t="s">
        <v>64</v>
      </c>
      <c r="B107" s="171"/>
      <c r="C107" s="171"/>
      <c r="D107" s="171"/>
      <c r="E107" s="171"/>
      <c r="F107" s="171"/>
      <c r="G107" s="172">
        <v>0.2531</v>
      </c>
      <c r="H107" s="173">
        <v>0.2531</v>
      </c>
      <c r="I107" s="165"/>
      <c r="J107" s="165"/>
      <c r="K107" s="165"/>
      <c r="L107" s="165"/>
    </row>
    <row r="108" spans="1:12" ht="16.5" customHeight="1">
      <c r="A108" s="174" t="s">
        <v>65</v>
      </c>
      <c r="B108" s="174"/>
      <c r="C108" s="174"/>
      <c r="D108" s="174"/>
      <c r="E108" s="174"/>
      <c r="F108" s="174"/>
      <c r="G108" s="175">
        <f>G106*G107</f>
        <v>0</v>
      </c>
      <c r="H108" s="176">
        <f>H106*H107</f>
        <v>0</v>
      </c>
      <c r="I108" s="165"/>
      <c r="J108" s="165"/>
      <c r="K108" s="165"/>
      <c r="L108" s="165"/>
    </row>
    <row r="109" spans="1:12" ht="15.75" customHeight="1">
      <c r="A109" s="168" t="s">
        <v>66</v>
      </c>
      <c r="B109" s="168"/>
      <c r="C109" s="168"/>
      <c r="D109" s="168"/>
      <c r="E109" s="168"/>
      <c r="F109" s="168"/>
      <c r="G109" s="177">
        <f>INT(G108/10)</f>
        <v>0</v>
      </c>
      <c r="H109" s="178">
        <f>INT(H108/10)</f>
        <v>0</v>
      </c>
      <c r="I109" s="165"/>
      <c r="J109" s="165"/>
      <c r="K109" s="165"/>
      <c r="L109" s="165"/>
    </row>
    <row r="110" spans="1:12" ht="18.75" customHeight="1">
      <c r="A110" s="171" t="s">
        <v>67</v>
      </c>
      <c r="B110" s="171"/>
      <c r="C110" s="171"/>
      <c r="D110" s="171"/>
      <c r="E110" s="171"/>
      <c r="F110" s="171"/>
      <c r="G110" s="179">
        <v>0.55</v>
      </c>
      <c r="H110" s="180">
        <v>0.55</v>
      </c>
      <c r="I110" s="165"/>
      <c r="J110" s="165"/>
      <c r="K110" s="165"/>
      <c r="L110" s="165"/>
    </row>
    <row r="111" spans="1:12" ht="19.5" customHeight="1">
      <c r="A111" s="181" t="s">
        <v>68</v>
      </c>
      <c r="B111" s="181"/>
      <c r="C111" s="181"/>
      <c r="D111" s="181"/>
      <c r="E111" s="181"/>
      <c r="F111" s="181"/>
      <c r="G111" s="182">
        <f>G109*G110</f>
        <v>0</v>
      </c>
      <c r="H111" s="183">
        <f>H109*H110</f>
        <v>0</v>
      </c>
      <c r="I111" s="165"/>
      <c r="J111" s="165"/>
      <c r="K111" s="165"/>
      <c r="L111" s="165"/>
    </row>
    <row r="112" spans="1:12" ht="12.75" customHeight="1">
      <c r="A112" s="184" t="s">
        <v>69</v>
      </c>
      <c r="B112" s="184"/>
      <c r="C112" s="184"/>
      <c r="D112" s="184"/>
      <c r="E112" s="184"/>
      <c r="F112" s="184"/>
      <c r="G112" s="185">
        <f>G$111/12</f>
        <v>0</v>
      </c>
      <c r="H112" s="186">
        <f>H$111/12</f>
        <v>0</v>
      </c>
      <c r="I112" s="165"/>
      <c r="J112" s="165"/>
      <c r="K112" s="165"/>
      <c r="L112" s="165"/>
    </row>
    <row r="113" spans="1:12" ht="32.25" customHeight="1">
      <c r="A113" s="184" t="s">
        <v>70</v>
      </c>
      <c r="B113" s="184"/>
      <c r="C113" s="184"/>
      <c r="D113" s="184"/>
      <c r="E113" s="184"/>
      <c r="F113" s="184"/>
      <c r="G113" s="187">
        <f>-G112*0.1</f>
        <v>0</v>
      </c>
      <c r="H113" s="188" t="s">
        <v>71</v>
      </c>
      <c r="I113" s="165"/>
      <c r="J113" s="165"/>
      <c r="K113" s="165"/>
      <c r="L113" s="165"/>
    </row>
    <row r="114" spans="1:12" ht="19.5" customHeight="1">
      <c r="A114" s="184" t="s">
        <v>72</v>
      </c>
      <c r="B114" s="184"/>
      <c r="C114" s="184"/>
      <c r="D114" s="184"/>
      <c r="E114" s="184"/>
      <c r="F114" s="184"/>
      <c r="G114" s="185">
        <f>G112+G113</f>
        <v>0</v>
      </c>
      <c r="H114" s="186">
        <f>H112</f>
        <v>0</v>
      </c>
      <c r="I114" s="165"/>
      <c r="J114" s="165"/>
      <c r="K114" s="165"/>
      <c r="L114" s="165"/>
    </row>
    <row r="115" spans="1:12" ht="16.5" customHeight="1">
      <c r="A115" s="189" t="s">
        <v>58</v>
      </c>
      <c r="B115" s="189"/>
      <c r="C115" s="189"/>
      <c r="D115" s="189"/>
      <c r="E115" s="189"/>
      <c r="F115" s="189"/>
      <c r="G115" s="190" t="e">
        <f>G114/$H$55</f>
        <v>#DIV/0!</v>
      </c>
      <c r="H115" s="191" t="e">
        <f>H114/$H$55</f>
        <v>#DIV/0!</v>
      </c>
      <c r="I115" s="165"/>
      <c r="J115" s="165"/>
      <c r="K115" s="165"/>
      <c r="L115" s="165"/>
    </row>
    <row r="116" spans="1:12" ht="18.75" customHeight="1">
      <c r="A116" s="192" t="s">
        <v>73</v>
      </c>
      <c r="B116" s="192"/>
      <c r="C116" s="192"/>
      <c r="D116" s="192"/>
      <c r="E116" s="192"/>
      <c r="F116" s="193" t="s">
        <v>12</v>
      </c>
      <c r="G116" s="194">
        <f>G114-G100</f>
        <v>0</v>
      </c>
      <c r="H116" s="195">
        <f>H114-G100</f>
        <v>0</v>
      </c>
      <c r="I116" s="165"/>
      <c r="J116" s="165"/>
      <c r="K116" s="165"/>
      <c r="L116" s="165"/>
    </row>
    <row r="117" spans="1:12" ht="12.75">
      <c r="A117" s="192"/>
      <c r="B117" s="192"/>
      <c r="C117" s="192"/>
      <c r="D117" s="192"/>
      <c r="E117" s="192"/>
      <c r="F117" s="196" t="s">
        <v>74</v>
      </c>
      <c r="G117" s="197" t="e">
        <f>G114/G100-1</f>
        <v>#DIV/0!</v>
      </c>
      <c r="H117" s="198" t="e">
        <f>H114/G100-1</f>
        <v>#DIV/0!</v>
      </c>
      <c r="I117" s="165"/>
      <c r="J117" s="165"/>
      <c r="K117" s="165"/>
      <c r="L117" s="165"/>
    </row>
    <row r="118" ht="19.5" customHeight="1"/>
    <row r="119" ht="19.5" customHeight="1"/>
  </sheetData>
  <sheetProtection selectLockedCells="1" selectUnlockedCells="1"/>
  <mergeCells count="44">
    <mergeCell ref="A1:U1"/>
    <mergeCell ref="A5:A6"/>
    <mergeCell ref="B5:B6"/>
    <mergeCell ref="C5:C6"/>
    <mergeCell ref="D5:G5"/>
    <mergeCell ref="H5:H6"/>
    <mergeCell ref="I5:L5"/>
    <mergeCell ref="M5:Q5"/>
    <mergeCell ref="R5:U5"/>
    <mergeCell ref="A83:D83"/>
    <mergeCell ref="H83:L84"/>
    <mergeCell ref="A84:D84"/>
    <mergeCell ref="M84:U84"/>
    <mergeCell ref="A85:D85"/>
    <mergeCell ref="A86:F86"/>
    <mergeCell ref="P86:P88"/>
    <mergeCell ref="A87:F87"/>
    <mergeCell ref="D88:F88"/>
    <mergeCell ref="D89:F89"/>
    <mergeCell ref="P89:P90"/>
    <mergeCell ref="D90:F90"/>
    <mergeCell ref="H90:K90"/>
    <mergeCell ref="D91:F91"/>
    <mergeCell ref="D92:F92"/>
    <mergeCell ref="D93:F93"/>
    <mergeCell ref="A96:G96"/>
    <mergeCell ref="A97:E97"/>
    <mergeCell ref="A98:E98"/>
    <mergeCell ref="A99:E99"/>
    <mergeCell ref="A100:E100"/>
    <mergeCell ref="A101:F101"/>
    <mergeCell ref="A104:H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E1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